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23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worksheets/sheet6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emf" ContentType="image/x-emf"/>
  <Default Extension="wmf" ContentType="image/x-wmf"/>
  <Override PartName="/xl/embeddings/oleObject20.bin" ContentType="application/vnd.openxmlformats-officedocument.oleObject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docProps/core.xml" ContentType="application/vnd.openxmlformats-package.core-properties+xml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15.bin" ContentType="application/vnd.openxmlformats-officedocument.oleObject"/>
  <Override PartName="/xl/embeddings/oleObject24.bin" ContentType="application/vnd.openxmlformats-officedocument.oleObject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135" windowWidth="19035" windowHeight="11640"/>
  </bookViews>
  <sheets>
    <sheet name="Velocidade de 9 nós" sheetId="5" r:id="rId1"/>
    <sheet name="Calculo do Thrust" sheetId="2" r:id="rId2"/>
    <sheet name="Sheet3" sheetId="3" r:id="rId3"/>
    <sheet name="Kt" sheetId="6" r:id="rId4"/>
    <sheet name="Tabela" sheetId="7" r:id="rId5"/>
    <sheet name="KQ" sheetId="8" r:id="rId6"/>
  </sheets>
  <definedNames>
    <definedName name="_xlnm.Print_Area" localSheetId="1">'Calculo do Thrust'!$A$1:$I$56</definedName>
    <definedName name="_xlnm.Print_Area" localSheetId="3">Kt!$A$51:$U$90</definedName>
  </definedNames>
  <calcPr calcId="125725"/>
</workbook>
</file>

<file path=xl/calcChain.xml><?xml version="1.0" encoding="utf-8"?>
<calcChain xmlns="http://schemas.openxmlformats.org/spreadsheetml/2006/main">
  <c r="C14" i="5"/>
  <c r="T15"/>
  <c r="D65" i="8"/>
  <c r="X45" i="5" s="1"/>
  <c r="F54" i="8"/>
  <c r="G54"/>
  <c r="H54"/>
  <c r="F55"/>
  <c r="G55"/>
  <c r="H55"/>
  <c r="F56"/>
  <c r="G56"/>
  <c r="H56"/>
  <c r="F57"/>
  <c r="G57"/>
  <c r="H57"/>
  <c r="F58"/>
  <c r="G58"/>
  <c r="H58"/>
  <c r="F59"/>
  <c r="G59"/>
  <c r="H59"/>
  <c r="F60"/>
  <c r="G60"/>
  <c r="H60"/>
  <c r="F61"/>
  <c r="G61"/>
  <c r="H61"/>
  <c r="F62"/>
  <c r="G62"/>
  <c r="H62"/>
  <c r="H53"/>
  <c r="G53"/>
  <c r="F53"/>
  <c r="F11"/>
  <c r="G11" s="1"/>
  <c r="H11" s="1"/>
  <c r="I11" s="1"/>
  <c r="J11" s="1"/>
  <c r="K11" s="1"/>
  <c r="L11" s="1"/>
  <c r="E11"/>
  <c r="A9" i="7"/>
  <c r="A10" s="1"/>
  <c r="AE8"/>
  <c r="AB8"/>
  <c r="Y8"/>
  <c r="V8"/>
  <c r="S8"/>
  <c r="P8"/>
  <c r="M8"/>
  <c r="J8"/>
  <c r="G8"/>
  <c r="D8"/>
  <c r="O48" i="3"/>
  <c r="X104" i="6"/>
  <c r="Y104"/>
  <c r="AD104" s="1"/>
  <c r="Z104"/>
  <c r="X97"/>
  <c r="Y97"/>
  <c r="AD97" s="1"/>
  <c r="Z97"/>
  <c r="X98"/>
  <c r="Y98"/>
  <c r="AD98" s="1"/>
  <c r="Z98"/>
  <c r="X99"/>
  <c r="Y99"/>
  <c r="AD99" s="1"/>
  <c r="Z99"/>
  <c r="X100"/>
  <c r="Y100"/>
  <c r="AD100" s="1"/>
  <c r="Z100"/>
  <c r="X101"/>
  <c r="Y101"/>
  <c r="AD101" s="1"/>
  <c r="Z101"/>
  <c r="X102"/>
  <c r="Y102"/>
  <c r="AD102" s="1"/>
  <c r="Z102"/>
  <c r="X103"/>
  <c r="Y103"/>
  <c r="AD103" s="1"/>
  <c r="Z103"/>
  <c r="Z96"/>
  <c r="Y96"/>
  <c r="AD96" s="1"/>
  <c r="X96"/>
  <c r="AE9"/>
  <c r="AB9"/>
  <c r="Y9"/>
  <c r="V9"/>
  <c r="S9"/>
  <c r="P9"/>
  <c r="M9"/>
  <c r="J9"/>
  <c r="G9"/>
  <c r="D9"/>
  <c r="K42" i="3"/>
  <c r="E37" i="6"/>
  <c r="L42" i="3" s="1"/>
  <c r="D34" i="6"/>
  <c r="C35"/>
  <c r="C34"/>
  <c r="L38" i="3"/>
  <c r="M38" s="1"/>
  <c r="N38" s="1"/>
  <c r="O38" s="1"/>
  <c r="P38" s="1"/>
  <c r="Q38" s="1"/>
  <c r="J34" i="6" s="1"/>
  <c r="A10"/>
  <c r="A11" s="1"/>
  <c r="A12" s="1"/>
  <c r="A13" s="1"/>
  <c r="A14" s="1"/>
  <c r="A15" s="1"/>
  <c r="AE15" s="1"/>
  <c r="L25" i="3"/>
  <c r="P24" s="1"/>
  <c r="P25" s="1"/>
  <c r="L23"/>
  <c r="L24" s="1"/>
  <c r="X14" i="5"/>
  <c r="C23"/>
  <c r="P22" i="2"/>
  <c r="C23"/>
  <c r="C24" s="1"/>
  <c r="E47" s="1"/>
  <c r="E48" s="1"/>
  <c r="C25"/>
  <c r="P18" s="1"/>
  <c r="P31"/>
  <c r="P28" s="1"/>
  <c r="T16" i="5"/>
  <c r="T17" s="1"/>
  <c r="T18" s="1"/>
  <c r="P22"/>
  <c r="C24"/>
  <c r="C25"/>
  <c r="P31"/>
  <c r="P28" s="1"/>
  <c r="D38" i="6" l="1"/>
  <c r="K43" i="3" s="1"/>
  <c r="AG96" i="6"/>
  <c r="D39" s="1"/>
  <c r="K44" i="3" s="1"/>
  <c r="H38" i="6"/>
  <c r="O43" i="3" s="1"/>
  <c r="AG100" i="6"/>
  <c r="H39" s="1"/>
  <c r="O44" i="3" s="1"/>
  <c r="L38" i="6"/>
  <c r="AG104"/>
  <c r="L39" s="1"/>
  <c r="AG103"/>
  <c r="K39" s="1"/>
  <c r="K38"/>
  <c r="AG99"/>
  <c r="G39" s="1"/>
  <c r="N44" i="3" s="1"/>
  <c r="G38" i="6"/>
  <c r="N43" i="3" s="1"/>
  <c r="AG102" i="6"/>
  <c r="J39" s="1"/>
  <c r="Q44" i="3" s="1"/>
  <c r="J38" i="6"/>
  <c r="Q43" i="3" s="1"/>
  <c r="AG98" i="6"/>
  <c r="F39" s="1"/>
  <c r="M44" i="3" s="1"/>
  <c r="F38" i="6"/>
  <c r="M43" i="3" s="1"/>
  <c r="AG101" i="6"/>
  <c r="I39" s="1"/>
  <c r="P44" i="3" s="1"/>
  <c r="I38" i="6"/>
  <c r="P43" i="3" s="1"/>
  <c r="AG97" i="6"/>
  <c r="E39" s="1"/>
  <c r="L44" i="3" s="1"/>
  <c r="E38" i="6"/>
  <c r="L43" i="3" s="1"/>
  <c r="L58" i="8"/>
  <c r="L54"/>
  <c r="E65"/>
  <c r="F65" s="1"/>
  <c r="G65" s="1"/>
  <c r="H65" s="1"/>
  <c r="I65" s="1"/>
  <c r="J65" s="1"/>
  <c r="K65" s="1"/>
  <c r="P29" i="2"/>
  <c r="D37" s="1"/>
  <c r="L60" i="8"/>
  <c r="L56"/>
  <c r="O56" s="1"/>
  <c r="F68" s="1"/>
  <c r="D40" i="6"/>
  <c r="L53" i="8"/>
  <c r="C66" s="1"/>
  <c r="L61"/>
  <c r="O61" s="1"/>
  <c r="K68" s="1"/>
  <c r="L59"/>
  <c r="I66" s="1"/>
  <c r="L57"/>
  <c r="L55"/>
  <c r="O60"/>
  <c r="J68" s="1"/>
  <c r="J66"/>
  <c r="O58"/>
  <c r="H68" s="1"/>
  <c r="H66"/>
  <c r="F66"/>
  <c r="O54"/>
  <c r="D68" s="1"/>
  <c r="D66"/>
  <c r="K66"/>
  <c r="G66"/>
  <c r="O57"/>
  <c r="G68" s="1"/>
  <c r="E66"/>
  <c r="O55"/>
  <c r="E68" s="1"/>
  <c r="AE10" i="7"/>
  <c r="Y10"/>
  <c r="S10"/>
  <c r="M10"/>
  <c r="G10"/>
  <c r="A11"/>
  <c r="C67" i="8" s="1"/>
  <c r="AB10" i="7"/>
  <c r="V10"/>
  <c r="P10"/>
  <c r="J10"/>
  <c r="D10"/>
  <c r="G9"/>
  <c r="M9"/>
  <c r="S9"/>
  <c r="Y9"/>
  <c r="AE9"/>
  <c r="D9"/>
  <c r="J9"/>
  <c r="P9"/>
  <c r="V9"/>
  <c r="AB9"/>
  <c r="D13" i="6"/>
  <c r="D11"/>
  <c r="G14"/>
  <c r="G12"/>
  <c r="G10"/>
  <c r="J14"/>
  <c r="J12"/>
  <c r="J10"/>
  <c r="M15"/>
  <c r="M13"/>
  <c r="M11"/>
  <c r="P15"/>
  <c r="P13"/>
  <c r="P11"/>
  <c r="S14"/>
  <c r="S12"/>
  <c r="S10"/>
  <c r="V14"/>
  <c r="V12"/>
  <c r="V10"/>
  <c r="Y15"/>
  <c r="Y13"/>
  <c r="Y11"/>
  <c r="AB15"/>
  <c r="AB13"/>
  <c r="AB11"/>
  <c r="AE14"/>
  <c r="AE12"/>
  <c r="AE10"/>
  <c r="F37"/>
  <c r="G37" s="1"/>
  <c r="H37" s="1"/>
  <c r="I37" s="1"/>
  <c r="J37" s="1"/>
  <c r="K37" s="1"/>
  <c r="L37" s="1"/>
  <c r="D14"/>
  <c r="D12"/>
  <c r="D10"/>
  <c r="G15"/>
  <c r="G13"/>
  <c r="G11"/>
  <c r="J15"/>
  <c r="J13"/>
  <c r="J11"/>
  <c r="M14"/>
  <c r="M12"/>
  <c r="M10"/>
  <c r="P14"/>
  <c r="P12"/>
  <c r="P10"/>
  <c r="S15"/>
  <c r="S13"/>
  <c r="S11"/>
  <c r="V15"/>
  <c r="V13"/>
  <c r="V11"/>
  <c r="Y14"/>
  <c r="Y12"/>
  <c r="Y10"/>
  <c r="AB14"/>
  <c r="AB12"/>
  <c r="AB10"/>
  <c r="AE13"/>
  <c r="AE11"/>
  <c r="A16"/>
  <c r="E40" s="1"/>
  <c r="I34"/>
  <c r="G34"/>
  <c r="E34"/>
  <c r="M42" i="3"/>
  <c r="H34" i="6"/>
  <c r="F34"/>
  <c r="N42" i="3"/>
  <c r="P29" i="5"/>
  <c r="E36" s="1"/>
  <c r="P24"/>
  <c r="G27" i="2"/>
  <c r="G28" s="1"/>
  <c r="P24"/>
  <c r="P27" s="1"/>
  <c r="G24" i="5"/>
  <c r="G25" s="1"/>
  <c r="W33" s="1"/>
  <c r="Y33" s="1"/>
  <c r="P42" i="3" l="1"/>
  <c r="O42"/>
  <c r="O59" i="8"/>
  <c r="I68" s="1"/>
  <c r="Q42" i="3"/>
  <c r="O53" i="8"/>
  <c r="C68" s="1"/>
  <c r="Y22" i="5"/>
  <c r="L16" i="3"/>
  <c r="M50" s="1"/>
  <c r="U10" i="5"/>
  <c r="U15" s="1"/>
  <c r="A12" i="7"/>
  <c r="AB11"/>
  <c r="V11"/>
  <c r="P11"/>
  <c r="J11"/>
  <c r="D11"/>
  <c r="AE11"/>
  <c r="Y11"/>
  <c r="S11"/>
  <c r="M11"/>
  <c r="G11"/>
  <c r="D41" i="6"/>
  <c r="K46" i="3" s="1"/>
  <c r="AB16" i="6"/>
  <c r="Y16"/>
  <c r="P16"/>
  <c r="M16"/>
  <c r="AE16"/>
  <c r="V16"/>
  <c r="S16"/>
  <c r="J16"/>
  <c r="L45" i="3"/>
  <c r="E41" i="6"/>
  <c r="L46" i="3" s="1"/>
  <c r="A17" i="6"/>
  <c r="G40"/>
  <c r="F40"/>
  <c r="K45" i="3"/>
  <c r="L35"/>
  <c r="W27" i="5"/>
  <c r="P27"/>
  <c r="P18"/>
  <c r="K67" i="8" l="1"/>
  <c r="K69" s="1"/>
  <c r="G67"/>
  <c r="G69" s="1"/>
  <c r="H67"/>
  <c r="H69" s="1"/>
  <c r="D67"/>
  <c r="I67"/>
  <c r="I69" s="1"/>
  <c r="E67"/>
  <c r="E69" s="1"/>
  <c r="J67"/>
  <c r="J69" s="1"/>
  <c r="F67"/>
  <c r="F69" s="1"/>
  <c r="C69"/>
  <c r="E38" i="5"/>
  <c r="E40" s="1"/>
  <c r="U16"/>
  <c r="U18"/>
  <c r="U17"/>
  <c r="D7" i="8"/>
  <c r="AE12" i="7"/>
  <c r="Y12"/>
  <c r="S12"/>
  <c r="M12"/>
  <c r="G12"/>
  <c r="A13"/>
  <c r="AB12"/>
  <c r="V12"/>
  <c r="P12"/>
  <c r="J12"/>
  <c r="D12"/>
  <c r="AE17" i="6"/>
  <c r="V17"/>
  <c r="S17"/>
  <c r="AB17"/>
  <c r="Y17"/>
  <c r="P17"/>
  <c r="M17"/>
  <c r="M45" i="3"/>
  <c r="F41" i="6"/>
  <c r="M46" i="3" s="1"/>
  <c r="A18" i="6"/>
  <c r="J40"/>
  <c r="H40"/>
  <c r="I40"/>
  <c r="K39" i="3"/>
  <c r="D35" i="6" s="1"/>
  <c r="P39" i="3"/>
  <c r="I35" i="6" s="1"/>
  <c r="L39" i="3"/>
  <c r="E35" i="6" s="1"/>
  <c r="M39" i="3"/>
  <c r="F35" i="6" s="1"/>
  <c r="Q39" i="3"/>
  <c r="J35" i="6" s="1"/>
  <c r="N39" i="3"/>
  <c r="G35" i="6" s="1"/>
  <c r="O39" i="3"/>
  <c r="H35" i="6" s="1"/>
  <c r="N45" i="3"/>
  <c r="G41" i="6"/>
  <c r="N46" i="3" s="1"/>
  <c r="W39" i="5"/>
  <c r="E42"/>
  <c r="U45" l="1"/>
  <c r="W50" s="1"/>
  <c r="D69" i="8"/>
  <c r="E12"/>
  <c r="G12"/>
  <c r="I12"/>
  <c r="K12"/>
  <c r="D12"/>
  <c r="F12"/>
  <c r="H12"/>
  <c r="J12"/>
  <c r="L12"/>
  <c r="A14" i="7"/>
  <c r="AB13"/>
  <c r="V13"/>
  <c r="P13"/>
  <c r="J13"/>
  <c r="D13"/>
  <c r="AE13"/>
  <c r="Y13"/>
  <c r="S13"/>
  <c r="M13"/>
  <c r="G13"/>
  <c r="AB18" i="6"/>
  <c r="Y18"/>
  <c r="P18"/>
  <c r="AE18"/>
  <c r="V18"/>
  <c r="S18"/>
  <c r="H41"/>
  <c r="O46" i="3" s="1"/>
  <c r="O45"/>
  <c r="A19" i="6"/>
  <c r="L40"/>
  <c r="L41" s="1"/>
  <c r="K40"/>
  <c r="K41" s="1"/>
  <c r="P45" i="3"/>
  <c r="I41" i="6"/>
  <c r="P46" i="3" s="1"/>
  <c r="J41" i="6"/>
  <c r="Q46" i="3" s="1"/>
  <c r="Q45"/>
  <c r="A15" i="7" l="1"/>
  <c r="AB14"/>
  <c r="V14"/>
  <c r="P14"/>
  <c r="J14"/>
  <c r="AE14"/>
  <c r="Y14"/>
  <c r="S14"/>
  <c r="M14"/>
  <c r="G14"/>
  <c r="A20" i="6"/>
  <c r="AE19"/>
  <c r="V19"/>
  <c r="S19"/>
  <c r="AB19"/>
  <c r="Y19"/>
  <c r="E44" i="5"/>
  <c r="E50" s="1"/>
  <c r="AE15" i="7" l="1"/>
  <c r="Y15"/>
  <c r="S15"/>
  <c r="M15"/>
  <c r="A16"/>
  <c r="AB15"/>
  <c r="V15"/>
  <c r="P15"/>
  <c r="J15"/>
  <c r="A21" i="6"/>
  <c r="AB20"/>
  <c r="Y20"/>
  <c r="AE20"/>
  <c r="V20"/>
  <c r="AE16" i="7" l="1"/>
  <c r="Y16"/>
  <c r="S16"/>
  <c r="M16"/>
  <c r="A17"/>
  <c r="AB16"/>
  <c r="V16"/>
  <c r="P16"/>
  <c r="A22" i="6"/>
  <c r="AE21"/>
  <c r="AB21"/>
  <c r="Y21"/>
  <c r="A18" i="7" l="1"/>
  <c r="AB17"/>
  <c r="V17"/>
  <c r="P17"/>
  <c r="AE17"/>
  <c r="Y17"/>
  <c r="S17"/>
  <c r="A23" i="6"/>
  <c r="AE23" s="1"/>
  <c r="AB22"/>
  <c r="AE22"/>
  <c r="A19" i="7" l="1"/>
  <c r="AB18"/>
  <c r="V18"/>
  <c r="AE18"/>
  <c r="Y18"/>
  <c r="S18"/>
  <c r="AE19" l="1"/>
  <c r="Y19"/>
  <c r="A20"/>
  <c r="AB19"/>
  <c r="V19"/>
  <c r="AE20" l="1"/>
  <c r="Y20"/>
  <c r="A21"/>
  <c r="AB20"/>
  <c r="A22" l="1"/>
  <c r="AE22" s="1"/>
  <c r="AB21"/>
  <c r="AE21"/>
</calcChain>
</file>

<file path=xl/sharedStrings.xml><?xml version="1.0" encoding="utf-8"?>
<sst xmlns="http://schemas.openxmlformats.org/spreadsheetml/2006/main" count="441" uniqueCount="151">
  <si>
    <t>Frederico O Fernandes</t>
  </si>
  <si>
    <t>Navio</t>
  </si>
  <si>
    <t>Local</t>
  </si>
  <si>
    <t>Kg</t>
  </si>
  <si>
    <t>Processo IPTM</t>
  </si>
  <si>
    <t>m</t>
  </si>
  <si>
    <r>
      <t>(</t>
    </r>
    <r>
      <rPr>
        <sz val="10"/>
        <color indexed="18"/>
        <rFont val="Calibri"/>
        <family val="2"/>
      </rPr>
      <t>L</t>
    </r>
    <r>
      <rPr>
        <sz val="11"/>
        <color indexed="18"/>
        <rFont val="Calibri"/>
        <family val="2"/>
      </rPr>
      <t>ocal</t>
    </r>
    <r>
      <rPr>
        <sz val="10"/>
        <rFont val="Arial"/>
        <family val="2"/>
      </rPr>
      <t>) : Peniche</t>
    </r>
  </si>
  <si>
    <r>
      <t>Preparado (</t>
    </r>
    <r>
      <rPr>
        <sz val="9"/>
        <color indexed="56"/>
        <rFont val="Calibri"/>
        <family val="2"/>
      </rPr>
      <t>Made by</t>
    </r>
    <r>
      <rPr>
        <sz val="9"/>
        <color indexed="8"/>
        <rFont val="Calibri"/>
        <family val="2"/>
      </rPr>
      <t>):</t>
    </r>
  </si>
  <si>
    <r>
      <t>Aprovado (</t>
    </r>
    <r>
      <rPr>
        <sz val="9"/>
        <color indexed="56"/>
        <rFont val="Calibri"/>
        <family val="2"/>
      </rPr>
      <t>Approved by</t>
    </r>
    <r>
      <rPr>
        <sz val="9"/>
        <color indexed="8"/>
        <rFont val="Calibri"/>
        <family val="2"/>
      </rPr>
      <t>):</t>
    </r>
  </si>
  <si>
    <r>
      <t>Rev. (</t>
    </r>
    <r>
      <rPr>
        <sz val="9"/>
        <color indexed="56"/>
        <rFont val="Calibri"/>
        <family val="2"/>
      </rPr>
      <t>Ver.</t>
    </r>
    <r>
      <rPr>
        <sz val="9"/>
        <color indexed="8"/>
        <rFont val="Calibri"/>
        <family val="2"/>
      </rPr>
      <t>)</t>
    </r>
  </si>
  <si>
    <r>
      <t>Data (</t>
    </r>
    <r>
      <rPr>
        <sz val="9"/>
        <color indexed="18"/>
        <rFont val="Calibri"/>
        <family val="2"/>
      </rPr>
      <t>Date</t>
    </r>
    <r>
      <rPr>
        <sz val="9"/>
        <color indexed="8"/>
        <rFont val="Calibri"/>
        <family val="2"/>
      </rPr>
      <t>)</t>
    </r>
  </si>
  <si>
    <r>
      <t>Folha (</t>
    </r>
    <r>
      <rPr>
        <sz val="9"/>
        <color indexed="56"/>
        <rFont val="Calibri"/>
        <family val="2"/>
      </rPr>
      <t>Sheet</t>
    </r>
    <r>
      <rPr>
        <sz val="9"/>
        <color indexed="8"/>
        <rFont val="Calibri"/>
        <family val="2"/>
      </rPr>
      <t>)</t>
    </r>
  </si>
  <si>
    <r>
      <t>(</t>
    </r>
    <r>
      <rPr>
        <sz val="11"/>
        <color indexed="56"/>
        <rFont val="Calibri"/>
        <family val="2"/>
      </rPr>
      <t>Process.</t>
    </r>
    <r>
      <rPr>
        <sz val="10"/>
        <rFont val="Arial"/>
        <family val="2"/>
      </rPr>
      <t xml:space="preserve">) : </t>
    </r>
  </si>
  <si>
    <t>Dimensionamento do Hélice</t>
  </si>
  <si>
    <r>
      <t>(</t>
    </r>
    <r>
      <rPr>
        <sz val="11"/>
        <color indexed="18"/>
        <rFont val="Calibri"/>
        <family val="2"/>
      </rPr>
      <t>Propeller Design</t>
    </r>
    <r>
      <rPr>
        <sz val="11"/>
        <color indexed="56"/>
        <rFont val="Calibri"/>
        <family val="2"/>
      </rPr>
      <t xml:space="preserve"> </t>
    </r>
    <r>
      <rPr>
        <sz val="10"/>
        <rFont val="Arial"/>
        <family val="2"/>
      </rPr>
      <t>)</t>
    </r>
  </si>
  <si>
    <r>
      <t>(</t>
    </r>
    <r>
      <rPr>
        <sz val="11"/>
        <color indexed="56"/>
        <rFont val="Calibri"/>
        <family val="2"/>
      </rPr>
      <t>Ship</t>
    </r>
    <r>
      <rPr>
        <sz val="10"/>
        <rFont val="Arial"/>
        <family val="2"/>
      </rPr>
      <t>) : Lancha Pilotos APTG</t>
    </r>
  </si>
  <si>
    <t>CÁLCULOS DE HÉLICES</t>
  </si>
  <si>
    <t>PARA PEQUENAS EMBARCAÇÕES</t>
  </si>
  <si>
    <t>k=93 para  hélices de 3 pás</t>
  </si>
  <si>
    <t>k=85 para  hélices de 4 pás</t>
  </si>
  <si>
    <t>k=83 para  hélices de 5 ou mais pás</t>
  </si>
  <si>
    <t>BHP = Potência do Motor</t>
  </si>
  <si>
    <t>N= Número de Rotações por minuto</t>
  </si>
  <si>
    <t>Dados Motor</t>
  </si>
  <si>
    <t>Dados Hélice</t>
  </si>
  <si>
    <t>Z= Número de pás</t>
  </si>
  <si>
    <t>Dados da Embarcação</t>
  </si>
  <si>
    <t>H= Altura da Clara</t>
  </si>
  <si>
    <t>hp</t>
  </si>
  <si>
    <t>rpm</t>
  </si>
  <si>
    <t>pás</t>
  </si>
  <si>
    <t>V= Velocidade em m/s (1nó - 0,5144444m/s)</t>
  </si>
  <si>
    <t>nós</t>
  </si>
  <si>
    <t>Coef. Propulsivo</t>
  </si>
  <si>
    <t xml:space="preserve">Potência efectiva </t>
  </si>
  <si>
    <t>m/s</t>
  </si>
  <si>
    <t>Coeficiente de esteira</t>
  </si>
  <si>
    <t>Velocidade de avanço</t>
  </si>
  <si>
    <t>D= Diâmetro do Hélice</t>
  </si>
  <si>
    <t>Dados Caixa</t>
  </si>
  <si>
    <t>BHP =</t>
  </si>
  <si>
    <t>N =</t>
  </si>
  <si>
    <t>V =</t>
  </si>
  <si>
    <r>
      <t>L</t>
    </r>
    <r>
      <rPr>
        <sz val="7"/>
        <rFont val="Arial"/>
        <family val="2"/>
      </rPr>
      <t xml:space="preserve">WL </t>
    </r>
    <r>
      <rPr>
        <sz val="10"/>
        <rFont val="Arial"/>
        <family val="2"/>
      </rPr>
      <t>=</t>
    </r>
  </si>
  <si>
    <t>B =</t>
  </si>
  <si>
    <t>I =</t>
  </si>
  <si>
    <t>Peso =</t>
  </si>
  <si>
    <t>r =</t>
  </si>
  <si>
    <t>n =</t>
  </si>
  <si>
    <t>SHP =</t>
  </si>
  <si>
    <t>H =</t>
  </si>
  <si>
    <t>Z =</t>
  </si>
  <si>
    <t>kW</t>
  </si>
  <si>
    <t>Séries Sistemáticas - Eliminação de Variavés para os diferentes problemas do Projecto</t>
  </si>
  <si>
    <t>Potência e Velocidade de rotação conhecidas: Eliminação do Diâmetro</t>
  </si>
  <si>
    <t>Nota</t>
  </si>
  <si>
    <t>Ve =</t>
  </si>
  <si>
    <t>Conclui-se</t>
  </si>
  <si>
    <r>
      <t>P</t>
    </r>
    <r>
      <rPr>
        <sz val="8"/>
        <rFont val="Arial"/>
        <family val="2"/>
      </rPr>
      <t>D</t>
    </r>
    <r>
      <rPr>
        <sz val="10"/>
        <rFont val="Arial"/>
        <family val="2"/>
      </rPr>
      <t xml:space="preserve"> =</t>
    </r>
  </si>
  <si>
    <t>3/ 3.</t>
  </si>
  <si>
    <t>3/ 2.</t>
  </si>
  <si>
    <t>3/ 1.</t>
  </si>
  <si>
    <t>Velocidade de Avanço</t>
  </si>
  <si>
    <t>Série Sistemática</t>
  </si>
  <si>
    <t>rps</t>
  </si>
  <si>
    <t>J</t>
  </si>
  <si>
    <t>,</t>
  </si>
  <si>
    <t>wake factor</t>
  </si>
  <si>
    <r>
      <t>A</t>
    </r>
    <r>
      <rPr>
        <sz val="8"/>
        <rFont val="Arial"/>
        <family val="2"/>
      </rPr>
      <t>w</t>
    </r>
    <r>
      <rPr>
        <sz val="10"/>
        <rFont val="Arial"/>
        <family val="2"/>
      </rPr>
      <t xml:space="preserve"> =</t>
    </r>
  </si>
  <si>
    <r>
      <t>C</t>
    </r>
    <r>
      <rPr>
        <sz val="8"/>
        <rFont val="Arial"/>
        <family val="2"/>
      </rPr>
      <t xml:space="preserve">b </t>
    </r>
    <r>
      <rPr>
        <sz val="10"/>
        <rFont val="Arial"/>
        <family val="2"/>
      </rPr>
      <t>=</t>
    </r>
  </si>
  <si>
    <t>m^2</t>
  </si>
  <si>
    <t>O Coeficiente de avançoé igual:</t>
  </si>
  <si>
    <t>Diâmetro Optimo</t>
  </si>
  <si>
    <t>J =</t>
  </si>
  <si>
    <t>D =</t>
  </si>
  <si>
    <t>Binário</t>
  </si>
  <si>
    <t>Q =</t>
  </si>
  <si>
    <t>Nm</t>
  </si>
  <si>
    <t>Coeficiente de Binário</t>
  </si>
  <si>
    <r>
      <t>k</t>
    </r>
    <r>
      <rPr>
        <sz val="7"/>
        <rFont val="Arial"/>
        <family val="2"/>
      </rPr>
      <t xml:space="preserve">Q </t>
    </r>
    <r>
      <rPr>
        <sz val="10"/>
        <rFont val="Arial"/>
        <family val="2"/>
      </rPr>
      <t>=</t>
    </r>
  </si>
  <si>
    <t xml:space="preserve">      Segundo a curva de rendimento máximo do  </t>
  </si>
  <si>
    <t>segundo o gráfico "Open Water Charateristics"</t>
  </si>
  <si>
    <r>
      <t>k</t>
    </r>
    <r>
      <rPr>
        <sz val="7"/>
        <rFont val="Arial"/>
        <family val="2"/>
      </rPr>
      <t xml:space="preserve">T </t>
    </r>
    <r>
      <rPr>
        <sz val="10"/>
        <rFont val="Arial"/>
        <family val="2"/>
      </rPr>
      <t>= f (J , k</t>
    </r>
    <r>
      <rPr>
        <sz val="7"/>
        <rFont val="Arial"/>
        <family val="2"/>
      </rPr>
      <t>Q</t>
    </r>
    <r>
      <rPr>
        <sz val="10"/>
        <rFont val="Arial"/>
        <family val="2"/>
      </rPr>
      <t>)</t>
    </r>
  </si>
  <si>
    <r>
      <t>k</t>
    </r>
    <r>
      <rPr>
        <sz val="7"/>
        <rFont val="Arial"/>
        <family val="2"/>
      </rPr>
      <t xml:space="preserve">T  </t>
    </r>
    <r>
      <rPr>
        <sz val="10"/>
        <rFont val="Arial"/>
        <family val="2"/>
      </rPr>
      <t>=</t>
    </r>
  </si>
  <si>
    <t>Coeficiente força propulsiva</t>
  </si>
  <si>
    <t>thrust</t>
  </si>
  <si>
    <t>T =</t>
  </si>
  <si>
    <t>N</t>
  </si>
  <si>
    <t>Diâmetro Óptimo</t>
  </si>
  <si>
    <t>Thrust</t>
  </si>
  <si>
    <r>
      <t>10 x K</t>
    </r>
    <r>
      <rPr>
        <sz val="7"/>
        <rFont val="Arial"/>
        <family val="2"/>
      </rPr>
      <t xml:space="preserve">Q </t>
    </r>
  </si>
  <si>
    <t>P/D</t>
  </si>
  <si>
    <t>Passo</t>
  </si>
  <si>
    <t>P =</t>
  </si>
  <si>
    <t>wake factor - Twin Screw</t>
  </si>
  <si>
    <t xml:space="preserve">P/D = </t>
  </si>
  <si>
    <t xml:space="preserve">      Segundo a curva de rendimento máximo do diagrama de um hélice da série B5 - 60 Wagningen.  </t>
  </si>
  <si>
    <t>Coeficiente de Avanço</t>
  </si>
  <si>
    <t xml:space="preserve">       para o calculo do thrust utiliza-se velocidades muito baixas</t>
  </si>
  <si>
    <t>ton</t>
  </si>
  <si>
    <t>Processo: BV</t>
  </si>
  <si>
    <r>
      <t>(</t>
    </r>
    <r>
      <rPr>
        <sz val="11"/>
        <color indexed="56"/>
        <rFont val="Calibri"/>
        <family val="2"/>
      </rPr>
      <t>Ship</t>
    </r>
    <r>
      <rPr>
        <sz val="10"/>
        <rFont val="Arial"/>
        <family val="2"/>
      </rPr>
      <t>) : Lancha Desembarque 56m</t>
    </r>
  </si>
  <si>
    <t xml:space="preserve"> diagrama de um hélice da série B4 - 55 Wagningen.</t>
  </si>
  <si>
    <t>kN</t>
  </si>
  <si>
    <t>Knot</t>
  </si>
  <si>
    <r>
      <t>V</t>
    </r>
    <r>
      <rPr>
        <sz val="8"/>
        <rFont val="Arial"/>
        <family val="2"/>
      </rPr>
      <t>e</t>
    </r>
    <r>
      <rPr>
        <sz val="10"/>
        <rFont val="Arial"/>
        <family val="2"/>
      </rPr>
      <t xml:space="preserve"> =</t>
    </r>
  </si>
  <si>
    <t>Força Propulsiva e Velocidade de rotação conhecidas: Eliminação do Diâmetro</t>
  </si>
  <si>
    <t>Open Water Characteristics of a Methodical Series</t>
  </si>
  <si>
    <t>Z = 4    Ae/Ao =0.5</t>
  </si>
  <si>
    <t>P/D :</t>
  </si>
  <si>
    <t>Kt</t>
  </si>
  <si>
    <t>10Kq</t>
  </si>
  <si>
    <r>
      <t xml:space="preserve">Tabela 4.3 - </t>
    </r>
    <r>
      <rPr>
        <b/>
        <u/>
        <sz val="10"/>
        <color theme="5"/>
        <rFont val="Arial"/>
        <family val="2"/>
      </rPr>
      <t>The Propeller in " Open" Water</t>
    </r>
  </si>
  <si>
    <t>Dados</t>
  </si>
  <si>
    <t>10Ko</t>
  </si>
  <si>
    <t>no</t>
  </si>
  <si>
    <t xml:space="preserve">Conlcui-se o J no máximo rendimento é </t>
  </si>
  <si>
    <r>
      <rPr>
        <b/>
        <sz val="11"/>
        <rFont val="Calibri"/>
        <family val="2"/>
      </rPr>
      <t>η</t>
    </r>
    <r>
      <rPr>
        <b/>
        <sz val="8"/>
        <rFont val="Times New Roman"/>
        <family val="1"/>
      </rPr>
      <t>o</t>
    </r>
  </si>
  <si>
    <t>x2</t>
  </si>
  <si>
    <t>x</t>
  </si>
  <si>
    <t>A =</t>
  </si>
  <si>
    <t>b =Ax</t>
  </si>
  <si>
    <t>x =</t>
  </si>
  <si>
    <t>b =</t>
  </si>
  <si>
    <t>a</t>
  </si>
  <si>
    <t>b</t>
  </si>
  <si>
    <t>c</t>
  </si>
  <si>
    <r>
      <t>J</t>
    </r>
    <r>
      <rPr>
        <sz val="8"/>
        <rFont val="Arial"/>
        <family val="2"/>
      </rPr>
      <t>i</t>
    </r>
    <r>
      <rPr>
        <sz val="10"/>
        <rFont val="Arial"/>
      </rPr>
      <t xml:space="preserve"> =</t>
    </r>
  </si>
  <si>
    <t>Kt,i =</t>
  </si>
  <si>
    <r>
      <t>d/dx (y)= -3.776x</t>
    </r>
    <r>
      <rPr>
        <vertAlign val="superscript"/>
        <sz val="10"/>
        <color rgb="FF000000"/>
        <rFont val="Arial"/>
      </rPr>
      <t>2</t>
    </r>
    <r>
      <rPr>
        <sz val="10"/>
        <color rgb="FF000000"/>
        <rFont val="Arial"/>
      </rPr>
      <t xml:space="preserve"> + 5.550x - 1.356 </t>
    </r>
  </si>
  <si>
    <t>d/dx (y)= 0</t>
  </si>
  <si>
    <t>y =</t>
  </si>
  <si>
    <t>1. Dados do exercicio</t>
  </si>
  <si>
    <t>KQ</t>
  </si>
  <si>
    <t>Kq,i =</t>
  </si>
  <si>
    <t>equação do rendimentos</t>
  </si>
  <si>
    <t>d/dx (no)= 0</t>
  </si>
  <si>
    <t>x=</t>
  </si>
  <si>
    <t>P/D =</t>
  </si>
  <si>
    <t xml:space="preserve">y = 45.19x2 - 22.01x + 2.661
</t>
  </si>
  <si>
    <t xml:space="preserve">no =  -264.4x2 + 175.0x - 27.58
y = -33.66x2 + 30.93x - 5.866
</t>
  </si>
  <si>
    <t>Novas Construções</t>
  </si>
  <si>
    <t>Resistência do Navio</t>
  </si>
  <si>
    <t>Coef.  Resistência de Impulsão</t>
  </si>
  <si>
    <t>t =</t>
  </si>
  <si>
    <t>Rt =</t>
  </si>
  <si>
    <t>Potência efectiva</t>
  </si>
  <si>
    <r>
      <t>(</t>
    </r>
    <r>
      <rPr>
        <sz val="10"/>
        <color indexed="18"/>
        <rFont val="Calibri"/>
        <family val="2"/>
      </rPr>
      <t>L</t>
    </r>
    <r>
      <rPr>
        <sz val="11"/>
        <color indexed="18"/>
        <rFont val="Calibri"/>
        <family val="2"/>
      </rPr>
      <t>ocal</t>
    </r>
    <r>
      <rPr>
        <sz val="10"/>
        <rFont val="Arial"/>
        <family val="2"/>
      </rPr>
      <t>) :</t>
    </r>
  </si>
  <si>
    <r>
      <t>(</t>
    </r>
    <r>
      <rPr>
        <sz val="11"/>
        <color indexed="56"/>
        <rFont val="Calibri"/>
        <family val="2"/>
      </rPr>
      <t>New Building</t>
    </r>
    <r>
      <rPr>
        <sz val="10"/>
        <rFont val="Arial"/>
        <family val="2"/>
      </rPr>
      <t>) :</t>
    </r>
  </si>
  <si>
    <r>
      <t>(</t>
    </r>
    <r>
      <rPr>
        <sz val="10"/>
        <color indexed="18"/>
        <rFont val="Calibri"/>
        <family val="2"/>
      </rPr>
      <t>L</t>
    </r>
    <r>
      <rPr>
        <sz val="11"/>
        <color indexed="18"/>
        <rFont val="Calibri"/>
        <family val="2"/>
      </rPr>
      <t>ocal</t>
    </r>
    <r>
      <rPr>
        <sz val="10"/>
        <rFont val="Arial"/>
        <family val="2"/>
      </rPr>
      <t xml:space="preserve">) : </t>
    </r>
  </si>
  <si>
    <t>Albano Nunes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</si>
</sst>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29">
    <font>
      <sz val="10"/>
      <name val="Arial"/>
    </font>
    <font>
      <sz val="11"/>
      <color indexed="18"/>
      <name val="Calibri"/>
      <family val="2"/>
    </font>
    <font>
      <sz val="11"/>
      <color indexed="56"/>
      <name val="Calibri"/>
      <family val="2"/>
    </font>
    <font>
      <sz val="10"/>
      <color indexed="18"/>
      <name val="Calibri"/>
      <family val="2"/>
    </font>
    <font>
      <sz val="10"/>
      <color indexed="18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9"/>
      <color indexed="56"/>
      <name val="Calibri"/>
      <family val="2"/>
    </font>
    <font>
      <sz val="9"/>
      <color indexed="8"/>
      <name val="Calibri"/>
      <family val="2"/>
    </font>
    <font>
      <sz val="9"/>
      <color indexed="18"/>
      <name val="Calibri"/>
      <family val="2"/>
    </font>
    <font>
      <sz val="10"/>
      <color indexed="10"/>
      <name val="Arial"/>
      <family val="2"/>
    </font>
    <font>
      <sz val="7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5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u/>
      <sz val="10"/>
      <name val="Arial"/>
      <family val="2"/>
    </font>
    <font>
      <b/>
      <u/>
      <sz val="10"/>
      <color theme="5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</font>
    <font>
      <b/>
      <sz val="8"/>
      <name val="Times New Roman"/>
      <family val="1"/>
    </font>
    <font>
      <sz val="10"/>
      <color rgb="FF000000"/>
      <name val="Arial"/>
    </font>
    <font>
      <vertAlign val="superscript"/>
      <sz val="10"/>
      <color rgb="FF000000"/>
      <name val="Arial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2" xfId="0" applyFill="1" applyBorder="1"/>
    <xf numFmtId="0" fontId="9" fillId="2" borderId="4" xfId="0" applyFont="1" applyFill="1" applyBorder="1" applyAlignment="1">
      <alignment horizontal="center"/>
    </xf>
    <xf numFmtId="0" fontId="0" fillId="2" borderId="0" xfId="0" applyFill="1" applyBorder="1"/>
    <xf numFmtId="0" fontId="9" fillId="2" borderId="5" xfId="0" applyFont="1" applyFill="1" applyBorder="1" applyAlignment="1">
      <alignment horizontal="center"/>
    </xf>
    <xf numFmtId="0" fontId="9" fillId="2" borderId="4" xfId="0" applyFont="1" applyFill="1" applyBorder="1"/>
    <xf numFmtId="0" fontId="9" fillId="2" borderId="0" xfId="0" applyFont="1" applyFill="1" applyBorder="1"/>
    <xf numFmtId="0" fontId="9" fillId="2" borderId="5" xfId="0" applyFont="1" applyFill="1" applyBorder="1"/>
    <xf numFmtId="0" fontId="9" fillId="2" borderId="3" xfId="0" applyFont="1" applyFill="1" applyBorder="1"/>
    <xf numFmtId="0" fontId="9" fillId="2" borderId="1" xfId="0" applyFont="1" applyFill="1" applyBorder="1"/>
    <xf numFmtId="14" fontId="0" fillId="2" borderId="6" xfId="0" applyNumberForma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6" xfId="0" applyFill="1" applyBorder="1"/>
    <xf numFmtId="16" fontId="0" fillId="2" borderId="8" xfId="0" applyNumberFormat="1" applyFill="1" applyBorder="1" applyAlignment="1">
      <alignment horizontal="righ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5" fillId="2" borderId="4" xfId="0" applyFont="1" applyFill="1" applyBorder="1" applyAlignment="1"/>
    <xf numFmtId="0" fontId="5" fillId="2" borderId="0" xfId="0" applyFont="1" applyFill="1" applyBorder="1" applyAlignment="1"/>
    <xf numFmtId="0" fontId="0" fillId="2" borderId="0" xfId="0" applyFill="1" applyBorder="1" applyAlignment="1"/>
    <xf numFmtId="0" fontId="0" fillId="2" borderId="5" xfId="0" applyFill="1" applyBorder="1" applyAlignment="1"/>
    <xf numFmtId="0" fontId="5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/>
    <xf numFmtId="0" fontId="0" fillId="2" borderId="4" xfId="0" applyFill="1" applyBorder="1" applyAlignment="1"/>
    <xf numFmtId="0" fontId="7" fillId="2" borderId="0" xfId="0" applyFont="1" applyFill="1" applyBorder="1" applyAlignment="1"/>
    <xf numFmtId="2" fontId="6" fillId="2" borderId="0" xfId="0" applyNumberFormat="1" applyFont="1" applyFill="1" applyBorder="1" applyAlignment="1"/>
    <xf numFmtId="0" fontId="0" fillId="2" borderId="4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0" fillId="2" borderId="0" xfId="0" applyFill="1"/>
    <xf numFmtId="1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right"/>
    </xf>
    <xf numFmtId="0" fontId="0" fillId="0" borderId="0" xfId="0" applyBorder="1"/>
    <xf numFmtId="0" fontId="13" fillId="2" borderId="4" xfId="0" applyFont="1" applyFill="1" applyBorder="1"/>
    <xf numFmtId="0" fontId="14" fillId="2" borderId="4" xfId="0" applyFont="1" applyFill="1" applyBorder="1" applyAlignment="1"/>
    <xf numFmtId="0" fontId="13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right"/>
    </xf>
    <xf numFmtId="1" fontId="0" fillId="2" borderId="0" xfId="0" applyNumberFormat="1" applyFill="1" applyBorder="1" applyAlignment="1"/>
    <xf numFmtId="1" fontId="7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164" fontId="11" fillId="2" borderId="0" xfId="0" applyNumberFormat="1" applyFont="1" applyFill="1" applyBorder="1"/>
    <xf numFmtId="1" fontId="11" fillId="2" borderId="0" xfId="0" applyNumberFormat="1" applyFont="1" applyFill="1" applyBorder="1"/>
    <xf numFmtId="1" fontId="0" fillId="2" borderId="0" xfId="0" applyNumberFormat="1" applyFill="1" applyBorder="1"/>
    <xf numFmtId="2" fontId="11" fillId="2" borderId="0" xfId="0" applyNumberFormat="1" applyFont="1" applyFill="1" applyBorder="1"/>
    <xf numFmtId="2" fontId="0" fillId="2" borderId="0" xfId="0" applyNumberFormat="1" applyFill="1" applyBorder="1"/>
    <xf numFmtId="165" fontId="0" fillId="2" borderId="0" xfId="0" applyNumberForma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3" fillId="2" borderId="0" xfId="0" applyFont="1" applyFill="1" applyBorder="1"/>
    <xf numFmtId="165" fontId="13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/>
    <xf numFmtId="2" fontId="4" fillId="2" borderId="0" xfId="0" applyNumberFormat="1" applyFont="1" applyFill="1" applyBorder="1"/>
    <xf numFmtId="164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2" fontId="0" fillId="0" borderId="0" xfId="0" applyNumberFormat="1" applyFill="1" applyBorder="1"/>
    <xf numFmtId="2" fontId="4" fillId="0" borderId="0" xfId="0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 horizontal="center"/>
    </xf>
    <xf numFmtId="164" fontId="11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2" fontId="11" fillId="0" borderId="0" xfId="0" applyNumberFormat="1" applyFont="1" applyFill="1" applyBorder="1"/>
    <xf numFmtId="0" fontId="13" fillId="0" borderId="0" xfId="0" applyFont="1" applyFill="1" applyBorder="1"/>
    <xf numFmtId="165" fontId="13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/>
    <xf numFmtId="1" fontId="0" fillId="0" borderId="0" xfId="0" applyNumberFormat="1" applyFill="1" applyBorder="1"/>
    <xf numFmtId="164" fontId="0" fillId="0" borderId="0" xfId="0" applyNumberFormat="1" applyFill="1" applyBorder="1"/>
    <xf numFmtId="0" fontId="5" fillId="0" borderId="0" xfId="0" applyFont="1" applyFill="1" applyBorder="1" applyAlignment="1"/>
    <xf numFmtId="0" fontId="0" fillId="0" borderId="0" xfId="0" applyFill="1" applyBorder="1" applyAlignment="1"/>
    <xf numFmtId="1" fontId="0" fillId="0" borderId="0" xfId="0" applyNumberFormat="1" applyFill="1" applyBorder="1" applyAlignment="1"/>
    <xf numFmtId="0" fontId="9" fillId="0" borderId="0" xfId="0" applyFont="1" applyFill="1" applyBorder="1" applyAlignment="1">
      <alignment horizontal="center"/>
    </xf>
    <xf numFmtId="0" fontId="0" fillId="0" borderId="0" xfId="0" applyFill="1" applyBorder="1"/>
    <xf numFmtId="0" fontId="9" fillId="0" borderId="0" xfId="0" applyFont="1" applyFill="1" applyBorder="1"/>
    <xf numFmtId="14" fontId="0" fillId="0" borderId="0" xfId="0" applyNumberFormat="1" applyFill="1" applyBorder="1" applyAlignment="1">
      <alignment horizontal="center"/>
    </xf>
    <xf numFmtId="16" fontId="0" fillId="0" borderId="0" xfId="0" applyNumberFormat="1" applyFill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14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164" fontId="15" fillId="2" borderId="0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0" xfId="0" applyFont="1" applyFill="1" applyBorder="1"/>
    <xf numFmtId="0" fontId="16" fillId="2" borderId="0" xfId="0" applyFont="1" applyFill="1" applyBorder="1"/>
    <xf numFmtId="2" fontId="16" fillId="2" borderId="0" xfId="0" applyNumberFormat="1" applyFont="1" applyFill="1" applyBorder="1"/>
    <xf numFmtId="0" fontId="7" fillId="0" borderId="0" xfId="0" applyFont="1"/>
    <xf numFmtId="0" fontId="17" fillId="0" borderId="0" xfId="0" applyFont="1"/>
    <xf numFmtId="0" fontId="18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6" fontId="19" fillId="0" borderId="0" xfId="0" applyNumberFormat="1" applyFont="1"/>
    <xf numFmtId="0" fontId="21" fillId="0" borderId="0" xfId="0" applyFont="1"/>
    <xf numFmtId="0" fontId="7" fillId="2" borderId="4" xfId="0" applyFont="1" applyFill="1" applyBorder="1" applyAlignment="1"/>
    <xf numFmtId="0" fontId="14" fillId="2" borderId="4" xfId="0" applyFont="1" applyFill="1" applyBorder="1" applyAlignment="1">
      <alignment horizontal="center"/>
    </xf>
    <xf numFmtId="2" fontId="23" fillId="2" borderId="0" xfId="0" applyNumberFormat="1" applyFont="1" applyFill="1" applyBorder="1" applyAlignment="1">
      <alignment horizontal="center"/>
    </xf>
    <xf numFmtId="166" fontId="19" fillId="2" borderId="0" xfId="0" applyNumberFormat="1" applyFont="1" applyFill="1" applyBorder="1" applyAlignment="1">
      <alignment horizontal="center"/>
    </xf>
    <xf numFmtId="166" fontId="0" fillId="0" borderId="0" xfId="0" applyNumberForma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2" borderId="6" xfId="0" applyNumberFormat="1" applyFill="1" applyBorder="1" applyAlignment="1">
      <alignment horizontal="center"/>
    </xf>
    <xf numFmtId="0" fontId="7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7" fillId="0" borderId="0" xfId="0" applyFont="1" applyAlignment="1">
      <alignment horizontal="right"/>
    </xf>
    <xf numFmtId="0" fontId="26" fillId="0" borderId="0" xfId="0" applyFont="1" applyAlignment="1">
      <alignment horizontal="center" readingOrder="1"/>
    </xf>
    <xf numFmtId="0" fontId="0" fillId="0" borderId="0" xfId="0" applyAlignment="1">
      <alignment horizontal="right"/>
    </xf>
    <xf numFmtId="2" fontId="0" fillId="0" borderId="0" xfId="0" applyNumberFormat="1"/>
    <xf numFmtId="164" fontId="0" fillId="0" borderId="0" xfId="0" applyNumberFormat="1"/>
    <xf numFmtId="0" fontId="28" fillId="0" borderId="0" xfId="0" applyFont="1" applyAlignment="1">
      <alignment horizontal="center" readingOrder="1"/>
    </xf>
    <xf numFmtId="0" fontId="0" fillId="2" borderId="6" xfId="0" applyFill="1" applyBorder="1" applyAlignment="1">
      <alignment horizontal="left"/>
    </xf>
    <xf numFmtId="2" fontId="7" fillId="2" borderId="0" xfId="0" applyNumberFormat="1" applyFont="1" applyFill="1" applyBorder="1" applyAlignment="1">
      <alignment horizontal="right"/>
    </xf>
    <xf numFmtId="2" fontId="19" fillId="2" borderId="0" xfId="0" applyNumberFormat="1" applyFont="1" applyFill="1" applyBorder="1" applyAlignment="1"/>
    <xf numFmtId="0" fontId="0" fillId="2" borderId="4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4" fontId="0" fillId="2" borderId="6" xfId="0" applyNumberFormat="1" applyFill="1" applyBorder="1" applyAlignment="1">
      <alignment horizontal="center"/>
    </xf>
    <xf numFmtId="14" fontId="0" fillId="2" borderId="7" xfId="0" applyNumberFormat="1" applyFill="1" applyBorder="1" applyAlignment="1">
      <alignment horizontal="center"/>
    </xf>
    <xf numFmtId="14" fontId="0" fillId="2" borderId="8" xfId="0" applyNumberFormat="1" applyFill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4.732871753099839E-2"/>
          <c:y val="2.2327842503849983E-2"/>
          <c:w val="0.83149312154946153"/>
          <c:h val="0.91235115972494263"/>
        </c:manualLayout>
      </c:layout>
      <c:scatterChart>
        <c:scatterStyle val="smoothMarker"/>
        <c:ser>
          <c:idx val="0"/>
          <c:order val="0"/>
          <c:tx>
            <c:v>dados</c:v>
          </c:tx>
          <c:marker>
            <c:symbol val="none"/>
          </c:marker>
          <c:trendline>
            <c:trendlineType val="poly"/>
            <c:order val="2"/>
            <c:dispEq val="1"/>
            <c:trendlineLbl>
              <c:numFmt formatCode="General" sourceLinked="0"/>
            </c:trendlineLbl>
          </c:trendline>
          <c:xVal>
            <c:numRef>
              <c:f>Kt!$D$34:$J$34</c:f>
              <c:numCache>
                <c:formatCode>General</c:formatCode>
                <c:ptCount val="7"/>
                <c:pt idx="0">
                  <c:v>0.4</c:v>
                </c:pt>
                <c:pt idx="1">
                  <c:v>0.5</c:v>
                </c:pt>
                <c:pt idx="2">
                  <c:v>0.6</c:v>
                </c:pt>
                <c:pt idx="3">
                  <c:v>0.7</c:v>
                </c:pt>
                <c:pt idx="4">
                  <c:v>0.79999999999999993</c:v>
                </c:pt>
                <c:pt idx="5">
                  <c:v>0.89999999999999991</c:v>
                </c:pt>
                <c:pt idx="6">
                  <c:v>0.99999999999999989</c:v>
                </c:pt>
              </c:numCache>
            </c:numRef>
          </c:xVal>
          <c:yVal>
            <c:numRef>
              <c:f>Kt!$D$35:$J$35</c:f>
              <c:numCache>
                <c:formatCode>General</c:formatCode>
                <c:ptCount val="7"/>
                <c:pt idx="0">
                  <c:v>7.0650667549141408E-3</c:v>
                </c:pt>
                <c:pt idx="1">
                  <c:v>1.7248698132114593E-2</c:v>
                </c:pt>
                <c:pt idx="2">
                  <c:v>3.576690044675282E-2</c:v>
                </c:pt>
                <c:pt idx="3">
                  <c:v>6.6262598744331408E-2</c:v>
                </c:pt>
                <c:pt idx="4">
                  <c:v>0.11304106807862616</c:v>
                </c:pt>
                <c:pt idx="5">
                  <c:v>0.18106993351168607</c:v>
                </c:pt>
                <c:pt idx="6">
                  <c:v>0.27597917011383338</c:v>
                </c:pt>
              </c:numCache>
            </c:numRef>
          </c:yVal>
          <c:smooth val="1"/>
        </c:ser>
        <c:ser>
          <c:idx val="2"/>
          <c:order val="1"/>
          <c:tx>
            <c:v>P/D=0.6</c:v>
          </c:tx>
          <c:marker>
            <c:symbol val="none"/>
          </c:marker>
          <c:xVal>
            <c:numRef>
              <c:f>Kt!$A$9:$A$23</c:f>
              <c:numCache>
                <c:formatCode>0.0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</c:numCache>
            </c:numRef>
          </c:xVal>
          <c:yVal>
            <c:numRef>
              <c:f>Kt!$E$9:$E$23</c:f>
              <c:numCache>
                <c:formatCode>0.0000</c:formatCode>
                <c:ptCount val="15"/>
                <c:pt idx="0">
                  <c:v>0.25169999999999998</c:v>
                </c:pt>
                <c:pt idx="1">
                  <c:v>0.22539999999999999</c:v>
                </c:pt>
                <c:pt idx="2">
                  <c:v>0.19489999999999999</c:v>
                </c:pt>
                <c:pt idx="3">
                  <c:v>0.1603</c:v>
                </c:pt>
                <c:pt idx="4">
                  <c:v>0.1215</c:v>
                </c:pt>
                <c:pt idx="5">
                  <c:v>7.8600000000000003E-2</c:v>
                </c:pt>
                <c:pt idx="6">
                  <c:v>3.15E-2</c:v>
                </c:pt>
              </c:numCache>
            </c:numRef>
          </c:yVal>
          <c:smooth val="1"/>
        </c:ser>
        <c:ser>
          <c:idx val="4"/>
          <c:order val="2"/>
          <c:tx>
            <c:v>P/D = 0.7</c:v>
          </c:tx>
          <c:marker>
            <c:symbol val="none"/>
          </c:marker>
          <c:xVal>
            <c:numRef>
              <c:f>Kt!$A$9:$A$23</c:f>
              <c:numCache>
                <c:formatCode>0.0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</c:numCache>
            </c:numRef>
          </c:xVal>
          <c:yVal>
            <c:numRef>
              <c:f>Kt!$H$9:$H$23</c:f>
              <c:numCache>
                <c:formatCode>0.0000</c:formatCode>
                <c:ptCount val="15"/>
                <c:pt idx="0">
                  <c:v>0.2974</c:v>
                </c:pt>
                <c:pt idx="1">
                  <c:v>0.2702</c:v>
                </c:pt>
                <c:pt idx="2">
                  <c:v>0.23930000000000001</c:v>
                </c:pt>
                <c:pt idx="3">
                  <c:v>0.20469999999999999</c:v>
                </c:pt>
                <c:pt idx="4">
                  <c:v>0.16650000000000001</c:v>
                </c:pt>
                <c:pt idx="5">
                  <c:v>0.1246</c:v>
                </c:pt>
                <c:pt idx="6">
                  <c:v>7.9000000000000001E-2</c:v>
                </c:pt>
                <c:pt idx="7">
                  <c:v>2.9700000000000001E-2</c:v>
                </c:pt>
              </c:numCache>
            </c:numRef>
          </c:yVal>
          <c:smooth val="1"/>
        </c:ser>
        <c:ser>
          <c:idx val="6"/>
          <c:order val="3"/>
          <c:tx>
            <c:v>P/D = 0.8</c:v>
          </c:tx>
          <c:marker>
            <c:symbol val="none"/>
          </c:marker>
          <c:xVal>
            <c:numRef>
              <c:f>Kt!$A$9:$A$23</c:f>
              <c:numCache>
                <c:formatCode>0.0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</c:numCache>
            </c:numRef>
          </c:xVal>
          <c:yVal>
            <c:numRef>
              <c:f>Kt!$K$9:$K$23</c:f>
              <c:numCache>
                <c:formatCode>0.0000</c:formatCode>
                <c:ptCount val="15"/>
                <c:pt idx="0">
                  <c:v>0.34150000000000003</c:v>
                </c:pt>
                <c:pt idx="1">
                  <c:v>0.31140000000000001</c:v>
                </c:pt>
                <c:pt idx="2">
                  <c:v>0.28310000000000002</c:v>
                </c:pt>
                <c:pt idx="3">
                  <c:v>0.24890000000000001</c:v>
                </c:pt>
                <c:pt idx="4">
                  <c:v>0.21149999999999999</c:v>
                </c:pt>
                <c:pt idx="5">
                  <c:v>0.17069999999999999</c:v>
                </c:pt>
                <c:pt idx="6">
                  <c:v>0.12659999999999999</c:v>
                </c:pt>
                <c:pt idx="7">
                  <c:v>7.9200000000000007E-2</c:v>
                </c:pt>
                <c:pt idx="8">
                  <c:v>2.8400000000000002E-2</c:v>
                </c:pt>
              </c:numCache>
            </c:numRef>
          </c:yVal>
          <c:smooth val="1"/>
        </c:ser>
        <c:ser>
          <c:idx val="8"/>
          <c:order val="4"/>
          <c:tx>
            <c:v>P/D = 0.9</c:v>
          </c:tx>
          <c:marker>
            <c:symbol val="none"/>
          </c:marker>
          <c:xVal>
            <c:numRef>
              <c:f>Kt!$A$9:$A$23</c:f>
              <c:numCache>
                <c:formatCode>0.0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</c:numCache>
            </c:numRef>
          </c:xVal>
          <c:yVal>
            <c:numRef>
              <c:f>Kt!$N$9:$N$23</c:f>
              <c:numCache>
                <c:formatCode>0.0000</c:formatCode>
                <c:ptCount val="15"/>
                <c:pt idx="0">
                  <c:v>0.38400000000000001</c:v>
                </c:pt>
                <c:pt idx="1">
                  <c:v>0.35670000000000002</c:v>
                </c:pt>
                <c:pt idx="2">
                  <c:v>0.32629999999999998</c:v>
                </c:pt>
                <c:pt idx="3">
                  <c:v>0.29289999999999999</c:v>
                </c:pt>
                <c:pt idx="4">
                  <c:v>0.25640000000000002</c:v>
                </c:pt>
                <c:pt idx="5">
                  <c:v>0.21690000000000001</c:v>
                </c:pt>
                <c:pt idx="6">
                  <c:v>0.17430000000000001</c:v>
                </c:pt>
                <c:pt idx="7">
                  <c:v>0.12870000000000001</c:v>
                </c:pt>
                <c:pt idx="8">
                  <c:v>0.08</c:v>
                </c:pt>
                <c:pt idx="9">
                  <c:v>2.8299999999999999E-2</c:v>
                </c:pt>
              </c:numCache>
            </c:numRef>
          </c:yVal>
          <c:smooth val="1"/>
        </c:ser>
        <c:ser>
          <c:idx val="10"/>
          <c:order val="5"/>
          <c:tx>
            <c:v>P/D = 1.0</c:v>
          </c:tx>
          <c:marker>
            <c:symbol val="none"/>
          </c:marker>
          <c:xVal>
            <c:numRef>
              <c:f>Kt!$A$9:$A$23</c:f>
              <c:numCache>
                <c:formatCode>0.0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</c:numCache>
            </c:numRef>
          </c:xVal>
          <c:yVal>
            <c:numRef>
              <c:f>Kt!$Q$9:$Q$23</c:f>
              <c:numCache>
                <c:formatCode>0.0000</c:formatCode>
                <c:ptCount val="15"/>
                <c:pt idx="0">
                  <c:v>0.42499999999999999</c:v>
                </c:pt>
                <c:pt idx="1">
                  <c:v>0.39839999999999998</c:v>
                </c:pt>
                <c:pt idx="2">
                  <c:v>0.36890000000000001</c:v>
                </c:pt>
                <c:pt idx="3">
                  <c:v>0.33650000000000002</c:v>
                </c:pt>
                <c:pt idx="4">
                  <c:v>0.30130000000000001</c:v>
                </c:pt>
                <c:pt idx="5">
                  <c:v>0.2631</c:v>
                </c:pt>
                <c:pt idx="6">
                  <c:v>0.22209999999999999</c:v>
                </c:pt>
                <c:pt idx="7">
                  <c:v>0.1782</c:v>
                </c:pt>
                <c:pt idx="8">
                  <c:v>0.13139999999999999</c:v>
                </c:pt>
                <c:pt idx="9">
                  <c:v>8.1799999999999998E-2</c:v>
                </c:pt>
                <c:pt idx="10">
                  <c:v>2.92E-2</c:v>
                </c:pt>
              </c:numCache>
            </c:numRef>
          </c:yVal>
          <c:smooth val="1"/>
        </c:ser>
        <c:ser>
          <c:idx val="12"/>
          <c:order val="6"/>
          <c:tx>
            <c:v>P/D = 1.1</c:v>
          </c:tx>
          <c:marker>
            <c:symbol val="none"/>
          </c:marker>
          <c:xVal>
            <c:numRef>
              <c:f>Kt!$A$9:$A$23</c:f>
              <c:numCache>
                <c:formatCode>0.0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</c:numCache>
            </c:numRef>
          </c:xVal>
          <c:yVal>
            <c:numRef>
              <c:f>Kt!$T$9:$T$23</c:f>
              <c:numCache>
                <c:formatCode>0.0000</c:formatCode>
                <c:ptCount val="15"/>
                <c:pt idx="0">
                  <c:v>0.46439999999999998</c:v>
                </c:pt>
                <c:pt idx="1">
                  <c:v>0.43909999999999999</c:v>
                </c:pt>
                <c:pt idx="2">
                  <c:v>0.41089999999999999</c:v>
                </c:pt>
                <c:pt idx="3">
                  <c:v>0.37990000000000002</c:v>
                </c:pt>
                <c:pt idx="4">
                  <c:v>0.34610000000000002</c:v>
                </c:pt>
                <c:pt idx="5">
                  <c:v>0.3095</c:v>
                </c:pt>
                <c:pt idx="6">
                  <c:v>0.27010000000000001</c:v>
                </c:pt>
                <c:pt idx="7">
                  <c:v>0.2278</c:v>
                </c:pt>
                <c:pt idx="8">
                  <c:v>0.1827</c:v>
                </c:pt>
                <c:pt idx="9">
                  <c:v>0.1348</c:v>
                </c:pt>
                <c:pt idx="10">
                  <c:v>8.4099999999999994E-2</c:v>
                </c:pt>
                <c:pt idx="11">
                  <c:v>3.0499999999999999E-2</c:v>
                </c:pt>
              </c:numCache>
            </c:numRef>
          </c:yVal>
          <c:smooth val="1"/>
        </c:ser>
        <c:ser>
          <c:idx val="14"/>
          <c:order val="7"/>
          <c:tx>
            <c:v>P/D = 1.2</c:v>
          </c:tx>
          <c:marker>
            <c:symbol val="none"/>
          </c:marker>
          <c:xVal>
            <c:numRef>
              <c:f>Kt!$A$9:$A$23</c:f>
              <c:numCache>
                <c:formatCode>0.0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</c:numCache>
            </c:numRef>
          </c:xVal>
          <c:yVal>
            <c:numRef>
              <c:f>Kt!$W$9:$W$23</c:f>
              <c:numCache>
                <c:formatCode>0.0000</c:formatCode>
                <c:ptCount val="15"/>
                <c:pt idx="0">
                  <c:v>0.50219999999999998</c:v>
                </c:pt>
                <c:pt idx="1">
                  <c:v>0.47870000000000001</c:v>
                </c:pt>
                <c:pt idx="2">
                  <c:v>0.45229999999999998</c:v>
                </c:pt>
                <c:pt idx="3">
                  <c:v>0.42309999999999998</c:v>
                </c:pt>
                <c:pt idx="4">
                  <c:v>0.39100000000000001</c:v>
                </c:pt>
                <c:pt idx="5">
                  <c:v>0.35599999999999998</c:v>
                </c:pt>
                <c:pt idx="6">
                  <c:v>0.31809999999999999</c:v>
                </c:pt>
                <c:pt idx="7">
                  <c:v>0.27739999999999998</c:v>
                </c:pt>
                <c:pt idx="8">
                  <c:v>0.23380000000000001</c:v>
                </c:pt>
                <c:pt idx="9">
                  <c:v>0.18740000000000001</c:v>
                </c:pt>
                <c:pt idx="10">
                  <c:v>0.1381</c:v>
                </c:pt>
                <c:pt idx="11">
                  <c:v>8.5900000000000004E-2</c:v>
                </c:pt>
                <c:pt idx="12">
                  <c:v>3.0800000000000001E-2</c:v>
                </c:pt>
              </c:numCache>
            </c:numRef>
          </c:yVal>
          <c:smooth val="1"/>
        </c:ser>
        <c:ser>
          <c:idx val="16"/>
          <c:order val="8"/>
          <c:tx>
            <c:v>P/D = 1.3</c:v>
          </c:tx>
          <c:marker>
            <c:symbol val="none"/>
          </c:marker>
          <c:xVal>
            <c:numRef>
              <c:f>Kt!$A$9:$A$23</c:f>
              <c:numCache>
                <c:formatCode>0.0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</c:numCache>
            </c:numRef>
          </c:xVal>
          <c:yVal>
            <c:numRef>
              <c:f>Kt!$Z$9:$Z$23</c:f>
              <c:numCache>
                <c:formatCode>0.0000</c:formatCode>
                <c:ptCount val="15"/>
                <c:pt idx="0">
                  <c:v>0.53839999999999999</c:v>
                </c:pt>
                <c:pt idx="1">
                  <c:v>0.51729999999999998</c:v>
                </c:pt>
                <c:pt idx="2">
                  <c:v>0.49309999999999998</c:v>
                </c:pt>
                <c:pt idx="3">
                  <c:v>0.46589999999999998</c:v>
                </c:pt>
                <c:pt idx="4">
                  <c:v>0.43580000000000002</c:v>
                </c:pt>
                <c:pt idx="5">
                  <c:v>0.40260000000000001</c:v>
                </c:pt>
                <c:pt idx="6">
                  <c:v>0.36630000000000001</c:v>
                </c:pt>
                <c:pt idx="7">
                  <c:v>0.3271</c:v>
                </c:pt>
                <c:pt idx="8">
                  <c:v>0.2848</c:v>
                </c:pt>
                <c:pt idx="9">
                  <c:v>0.23960000000000001</c:v>
                </c:pt>
                <c:pt idx="10">
                  <c:v>0.1913</c:v>
                </c:pt>
                <c:pt idx="11">
                  <c:v>0.14000000000000001</c:v>
                </c:pt>
                <c:pt idx="12">
                  <c:v>8.5699999999999998E-2</c:v>
                </c:pt>
                <c:pt idx="13">
                  <c:v>2.8400000000000002E-2</c:v>
                </c:pt>
              </c:numCache>
            </c:numRef>
          </c:yVal>
          <c:smooth val="1"/>
        </c:ser>
        <c:ser>
          <c:idx val="18"/>
          <c:order val="9"/>
          <c:tx>
            <c:v>P/D = 1.4</c:v>
          </c:tx>
          <c:marker>
            <c:symbol val="none"/>
          </c:marker>
          <c:xVal>
            <c:numRef>
              <c:f>Kt!$A$9:$A$23</c:f>
              <c:numCache>
                <c:formatCode>0.0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</c:numCache>
            </c:numRef>
          </c:xVal>
          <c:yVal>
            <c:numRef>
              <c:f>Kt!$AC$9:$AC$23</c:f>
              <c:numCache>
                <c:formatCode>0.0000</c:formatCode>
                <c:ptCount val="15"/>
                <c:pt idx="0">
                  <c:v>0.57299999999999995</c:v>
                </c:pt>
                <c:pt idx="1">
                  <c:v>0.55479999999999996</c:v>
                </c:pt>
                <c:pt idx="2">
                  <c:v>0.5333</c:v>
                </c:pt>
                <c:pt idx="3">
                  <c:v>0.50860000000000005</c:v>
                </c:pt>
                <c:pt idx="4">
                  <c:v>0.48049999999999998</c:v>
                </c:pt>
                <c:pt idx="5">
                  <c:v>0.44919999999999999</c:v>
                </c:pt>
                <c:pt idx="6">
                  <c:v>0.41460000000000002</c:v>
                </c:pt>
                <c:pt idx="7">
                  <c:v>0.37680000000000002</c:v>
                </c:pt>
                <c:pt idx="8">
                  <c:v>0.3357</c:v>
                </c:pt>
                <c:pt idx="9">
                  <c:v>0.2913</c:v>
                </c:pt>
                <c:pt idx="10">
                  <c:v>0.2437</c:v>
                </c:pt>
                <c:pt idx="11">
                  <c:v>0.1928</c:v>
                </c:pt>
                <c:pt idx="12">
                  <c:v>0.1386</c:v>
                </c:pt>
                <c:pt idx="13">
                  <c:v>8.1199999999999994E-2</c:v>
                </c:pt>
                <c:pt idx="14">
                  <c:v>2.0500000000000001E-2</c:v>
                </c:pt>
              </c:numCache>
            </c:numRef>
          </c:yVal>
          <c:smooth val="1"/>
        </c:ser>
        <c:axId val="110930176"/>
        <c:axId val="110940160"/>
      </c:scatterChart>
      <c:valAx>
        <c:axId val="11093017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pt-PT"/>
          </a:p>
        </c:txPr>
        <c:crossAx val="110940160"/>
        <c:crosses val="autoZero"/>
        <c:crossBetween val="midCat"/>
        <c:majorUnit val="2.5000000000000012E-2"/>
      </c:valAx>
      <c:valAx>
        <c:axId val="110940160"/>
        <c:scaling>
          <c:orientation val="minMax"/>
        </c:scaling>
        <c:axPos val="l"/>
        <c:majorGridlines/>
        <c:numFmt formatCode="General" sourceLinked="1"/>
        <c:tickLblPos val="nextTo"/>
        <c:crossAx val="110930176"/>
        <c:crosses val="autoZero"/>
        <c:crossBetween val="midCat"/>
      </c:valAx>
      <c:spPr>
        <a:noFill/>
        <a:ln w="25400">
          <a:noFill/>
        </a:ln>
      </c:spPr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/>
    <c:plotArea>
      <c:layout/>
      <c:scatterChart>
        <c:scatterStyle val="smoothMarker"/>
        <c:ser>
          <c:idx val="3"/>
          <c:order val="0"/>
          <c:tx>
            <c:v>rendimento</c:v>
          </c:tx>
          <c:marker>
            <c:symbol val="none"/>
          </c:marker>
          <c:trendline>
            <c:trendlineType val="poly"/>
            <c:order val="2"/>
            <c:dispEq val="1"/>
            <c:trendlineLbl>
              <c:layout>
                <c:manualLayout>
                  <c:x val="9.2777533243127187E-3"/>
                  <c:y val="0.14588801399825022"/>
                </c:manualLayout>
              </c:layout>
              <c:numFmt formatCode="General" sourceLinked="0"/>
            </c:trendlineLbl>
          </c:trendline>
          <c:xVal>
            <c:numRef>
              <c:f>Kt!$D$38:$L$38</c:f>
              <c:numCache>
                <c:formatCode>0.0000</c:formatCode>
                <c:ptCount val="9"/>
                <c:pt idx="0">
                  <c:v>0.56227584294993593</c:v>
                </c:pt>
                <c:pt idx="1">
                  <c:v>0.60883218829421581</c:v>
                </c:pt>
                <c:pt idx="2">
                  <c:v>0.64968911150530528</c:v>
                </c:pt>
                <c:pt idx="3">
                  <c:v>0.68678571881148431</c:v>
                </c:pt>
                <c:pt idx="4">
                  <c:v>0.72116500779892934</c:v>
                </c:pt>
                <c:pt idx="5">
                  <c:v>0.75327978110701466</c:v>
                </c:pt>
                <c:pt idx="6">
                  <c:v>0.78365296395835915</c:v>
                </c:pt>
                <c:pt idx="7">
                  <c:v>0.81234544943726095</c:v>
                </c:pt>
                <c:pt idx="8">
                  <c:v>0.8395716080679595</c:v>
                </c:pt>
              </c:numCache>
            </c:numRef>
          </c:xVal>
          <c:yVal>
            <c:numRef>
              <c:f>Kt!$D$41:$L$41</c:f>
              <c:numCache>
                <c:formatCode>General</c:formatCode>
                <c:ptCount val="9"/>
                <c:pt idx="0">
                  <c:v>0.56467176617985093</c:v>
                </c:pt>
                <c:pt idx="1">
                  <c:v>0.62743933881656466</c:v>
                </c:pt>
                <c:pt idx="2">
                  <c:v>0.66216720093239578</c:v>
                </c:pt>
                <c:pt idx="3">
                  <c:v>0.6753664803337831</c:v>
                </c:pt>
                <c:pt idx="4">
                  <c:v>0.67975319783205379</c:v>
                </c:pt>
                <c:pt idx="5">
                  <c:v>0.67678458368002048</c:v>
                </c:pt>
                <c:pt idx="6">
                  <c:v>0.66942760734555717</c:v>
                </c:pt>
                <c:pt idx="7">
                  <c:v>0.65912622276711041</c:v>
                </c:pt>
                <c:pt idx="8">
                  <c:v>0.6471287106464445</c:v>
                </c:pt>
              </c:numCache>
            </c:numRef>
          </c:yVal>
          <c:smooth val="1"/>
        </c:ser>
        <c:axId val="112339584"/>
        <c:axId val="112341376"/>
      </c:scatterChart>
      <c:valAx>
        <c:axId val="112339584"/>
        <c:scaling>
          <c:orientation val="minMax"/>
          <c:min val="0.4"/>
        </c:scaling>
        <c:axPos val="b"/>
        <c:numFmt formatCode="0.0000" sourceLinked="1"/>
        <c:tickLblPos val="nextTo"/>
        <c:crossAx val="112341376"/>
        <c:crosses val="autoZero"/>
        <c:crossBetween val="midCat"/>
      </c:valAx>
      <c:valAx>
        <c:axId val="112341376"/>
        <c:scaling>
          <c:orientation val="minMax"/>
        </c:scaling>
        <c:axPos val="l"/>
        <c:majorGridlines/>
        <c:numFmt formatCode="General" sourceLinked="1"/>
        <c:tickLblPos val="nextTo"/>
        <c:crossAx val="11233958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smoothMarker"/>
        <c:ser>
          <c:idx val="1"/>
          <c:order val="0"/>
          <c:tx>
            <c:v>equação</c:v>
          </c:tx>
          <c:marker>
            <c:symbol val="none"/>
          </c:marker>
          <c:trendline>
            <c:trendlineType val="poly"/>
            <c:order val="2"/>
            <c:dispEq val="1"/>
            <c:trendlineLbl>
              <c:layout>
                <c:manualLayout>
                  <c:x val="0.24144636970165373"/>
                  <c:y val="0.15249227824422512"/>
                </c:manualLayout>
              </c:layout>
              <c:numFmt formatCode="General" sourceLinked="0"/>
            </c:trendlineLbl>
          </c:trendline>
          <c:xVal>
            <c:numRef>
              <c:f>KQ!$D$11:$G$11</c:f>
              <c:numCache>
                <c:formatCode>General</c:formatCode>
                <c:ptCount val="4"/>
                <c:pt idx="0">
                  <c:v>0.2</c:v>
                </c:pt>
                <c:pt idx="1">
                  <c:v>0.30000000000000004</c:v>
                </c:pt>
                <c:pt idx="2">
                  <c:v>0.4</c:v>
                </c:pt>
                <c:pt idx="3">
                  <c:v>0.5</c:v>
                </c:pt>
              </c:numCache>
            </c:numRef>
          </c:xVal>
          <c:yVal>
            <c:numRef>
              <c:f>KQ!$D$12:$G$12</c:f>
              <c:numCache>
                <c:formatCode>0.0000</c:formatCode>
                <c:ptCount val="4"/>
                <c:pt idx="0">
                  <c:v>3.0604789433473521E-2</c:v>
                </c:pt>
                <c:pt idx="1">
                  <c:v>0.23240511976043957</c:v>
                </c:pt>
                <c:pt idx="2">
                  <c:v>0.97935326187115268</c:v>
                </c:pt>
                <c:pt idx="3">
                  <c:v>2.9887489681126467</c:v>
                </c:pt>
              </c:numCache>
            </c:numRef>
          </c:yVal>
          <c:smooth val="1"/>
        </c:ser>
        <c:ser>
          <c:idx val="4"/>
          <c:order val="1"/>
          <c:tx>
            <c:v>P/D = 0.6</c:v>
          </c:tx>
          <c:marker>
            <c:symbol val="none"/>
          </c:marker>
          <c:xVal>
            <c:numRef>
              <c:f>Kt!$A$9:$A$23</c:f>
              <c:numCache>
                <c:formatCode>0.0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</c:numCache>
            </c:numRef>
          </c:xVal>
          <c:yVal>
            <c:numRef>
              <c:f>Kt!$F$9:$F$23</c:f>
              <c:numCache>
                <c:formatCode>0.0000</c:formatCode>
                <c:ptCount val="15"/>
                <c:pt idx="0">
                  <c:v>0.2455</c:v>
                </c:pt>
                <c:pt idx="1">
                  <c:v>0.22470000000000001</c:v>
                </c:pt>
                <c:pt idx="2">
                  <c:v>0.2001</c:v>
                </c:pt>
                <c:pt idx="3">
                  <c:v>0.17180000000000001</c:v>
                </c:pt>
                <c:pt idx="4">
                  <c:v>0.13689999999999999</c:v>
                </c:pt>
                <c:pt idx="5">
                  <c:v>0.1036</c:v>
                </c:pt>
                <c:pt idx="6">
                  <c:v>6.3899999999999998E-2</c:v>
                </c:pt>
              </c:numCache>
            </c:numRef>
          </c:yVal>
          <c:smooth val="1"/>
        </c:ser>
        <c:ser>
          <c:idx val="7"/>
          <c:order val="2"/>
          <c:tx>
            <c:v>P/D = 0.7</c:v>
          </c:tx>
          <c:marker>
            <c:symbol val="none"/>
          </c:marker>
          <c:xVal>
            <c:numRef>
              <c:f>Kt!$A$9:$A$23</c:f>
              <c:numCache>
                <c:formatCode>0.0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</c:numCache>
            </c:numRef>
          </c:xVal>
          <c:yVal>
            <c:numRef>
              <c:f>Kt!$I$9:$I$23</c:f>
              <c:numCache>
                <c:formatCode>0.0000</c:formatCode>
                <c:ptCount val="15"/>
                <c:pt idx="0">
                  <c:v>0.31869999999999998</c:v>
                </c:pt>
                <c:pt idx="1">
                  <c:v>0.29559999999999997</c:v>
                </c:pt>
                <c:pt idx="2">
                  <c:v>0.26840000000000003</c:v>
                </c:pt>
                <c:pt idx="3">
                  <c:v>0.23730000000000001</c:v>
                </c:pt>
                <c:pt idx="4">
                  <c:v>0.2021</c:v>
                </c:pt>
                <c:pt idx="5">
                  <c:v>0.16289999999999999</c:v>
                </c:pt>
                <c:pt idx="6">
                  <c:v>0.1197</c:v>
                </c:pt>
                <c:pt idx="7">
                  <c:v>7.2499999999999995E-2</c:v>
                </c:pt>
              </c:numCache>
            </c:numRef>
          </c:yVal>
          <c:smooth val="1"/>
        </c:ser>
        <c:ser>
          <c:idx val="10"/>
          <c:order val="3"/>
          <c:tx>
            <c:v>P/D = 0.8</c:v>
          </c:tx>
          <c:marker>
            <c:symbol val="none"/>
          </c:marker>
          <c:xVal>
            <c:numRef>
              <c:f>Kt!$A$9:$A$23</c:f>
              <c:numCache>
                <c:formatCode>0.0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</c:numCache>
            </c:numRef>
          </c:xVal>
          <c:yVal>
            <c:numRef>
              <c:f>Kt!$L$9:$L$23</c:f>
              <c:numCache>
                <c:formatCode>0.0000</c:formatCode>
                <c:ptCount val="15"/>
                <c:pt idx="0">
                  <c:v>0.40210000000000001</c:v>
                </c:pt>
                <c:pt idx="1">
                  <c:v>0.37669999999999998</c:v>
                </c:pt>
                <c:pt idx="2">
                  <c:v>0.34710000000000002</c:v>
                </c:pt>
                <c:pt idx="3">
                  <c:v>0.31330000000000002</c:v>
                </c:pt>
                <c:pt idx="4">
                  <c:v>0.27529999999999999</c:v>
                </c:pt>
                <c:pt idx="5">
                  <c:v>0.2331</c:v>
                </c:pt>
                <c:pt idx="6">
                  <c:v>0.1867</c:v>
                </c:pt>
                <c:pt idx="7">
                  <c:v>0.1361</c:v>
                </c:pt>
                <c:pt idx="8">
                  <c:v>8.1299999999999997E-2</c:v>
                </c:pt>
              </c:numCache>
            </c:numRef>
          </c:yVal>
          <c:smooth val="1"/>
        </c:ser>
        <c:ser>
          <c:idx val="13"/>
          <c:order val="4"/>
          <c:tx>
            <c:v>P/D = 0.9</c:v>
          </c:tx>
          <c:marker>
            <c:symbol val="none"/>
          </c:marker>
          <c:xVal>
            <c:numRef>
              <c:f>Kt!$A$9:$A$23</c:f>
              <c:numCache>
                <c:formatCode>0.0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</c:numCache>
            </c:numRef>
          </c:xVal>
          <c:yVal>
            <c:numRef>
              <c:f>Kt!$O$9:$O$23</c:f>
              <c:numCache>
                <c:formatCode>0.0000</c:formatCode>
                <c:ptCount val="15"/>
                <c:pt idx="0">
                  <c:v>0.49559999999999998</c:v>
                </c:pt>
                <c:pt idx="1">
                  <c:v>0.46810000000000002</c:v>
                </c:pt>
                <c:pt idx="2">
                  <c:v>0.43619999999999998</c:v>
                </c:pt>
                <c:pt idx="3">
                  <c:v>0.39989999999999998</c:v>
                </c:pt>
                <c:pt idx="4">
                  <c:v>0.35930000000000001</c:v>
                </c:pt>
                <c:pt idx="5">
                  <c:v>0.31430000000000002</c:v>
                </c:pt>
                <c:pt idx="6">
                  <c:v>0.26490000000000002</c:v>
                </c:pt>
                <c:pt idx="7">
                  <c:v>0.2112</c:v>
                </c:pt>
                <c:pt idx="8">
                  <c:v>0.153</c:v>
                </c:pt>
                <c:pt idx="9">
                  <c:v>9.06E-2</c:v>
                </c:pt>
              </c:numCache>
            </c:numRef>
          </c:yVal>
          <c:smooth val="1"/>
        </c:ser>
        <c:ser>
          <c:idx val="16"/>
          <c:order val="5"/>
          <c:tx>
            <c:v>P/D = 1.0</c:v>
          </c:tx>
          <c:marker>
            <c:symbol val="none"/>
          </c:marker>
          <c:xVal>
            <c:numRef>
              <c:f>Kt!$A$9:$A$23</c:f>
              <c:numCache>
                <c:formatCode>0.0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</c:numCache>
            </c:numRef>
          </c:xVal>
          <c:yVal>
            <c:numRef>
              <c:f>Kt!$R$9:$R$23</c:f>
              <c:numCache>
                <c:formatCode>0.0000</c:formatCode>
                <c:ptCount val="15"/>
                <c:pt idx="0">
                  <c:v>0.59940000000000004</c:v>
                </c:pt>
                <c:pt idx="1">
                  <c:v>0.56979999999999997</c:v>
                </c:pt>
                <c:pt idx="2">
                  <c:v>0.53569999999999995</c:v>
                </c:pt>
                <c:pt idx="3">
                  <c:v>0.49709999999999999</c:v>
                </c:pt>
                <c:pt idx="4">
                  <c:v>0.45400000000000001</c:v>
                </c:pt>
                <c:pt idx="5">
                  <c:v>0.40639999999999998</c:v>
                </c:pt>
                <c:pt idx="6">
                  <c:v>0.3543</c:v>
                </c:pt>
                <c:pt idx="7">
                  <c:v>0.29759999999999998</c:v>
                </c:pt>
                <c:pt idx="8">
                  <c:v>0.23649999999999999</c:v>
                </c:pt>
                <c:pt idx="9">
                  <c:v>0.17080000000000001</c:v>
                </c:pt>
                <c:pt idx="10">
                  <c:v>0.1007</c:v>
                </c:pt>
              </c:numCache>
            </c:numRef>
          </c:yVal>
          <c:smooth val="1"/>
        </c:ser>
        <c:ser>
          <c:idx val="19"/>
          <c:order val="6"/>
          <c:tx>
            <c:v>P/D = 1.1</c:v>
          </c:tx>
          <c:marker>
            <c:symbol val="none"/>
          </c:marker>
          <c:xVal>
            <c:numRef>
              <c:f>Kt!$A$9:$A$23</c:f>
              <c:numCache>
                <c:formatCode>0.0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</c:numCache>
            </c:numRef>
          </c:xVal>
          <c:yVal>
            <c:numRef>
              <c:f>Kt!$U$9:$U$23</c:f>
              <c:numCache>
                <c:formatCode>0.0000</c:formatCode>
                <c:ptCount val="15"/>
                <c:pt idx="0">
                  <c:v>0.71330000000000005</c:v>
                </c:pt>
                <c:pt idx="1">
                  <c:v>0.68179999999999996</c:v>
                </c:pt>
                <c:pt idx="2">
                  <c:v>0.64559999999999995</c:v>
                </c:pt>
                <c:pt idx="3">
                  <c:v>0.6048</c:v>
                </c:pt>
                <c:pt idx="4">
                  <c:v>0.55940000000000001</c:v>
                </c:pt>
                <c:pt idx="5">
                  <c:v>0.50939999999999996</c:v>
                </c:pt>
                <c:pt idx="6">
                  <c:v>0.45479999999999998</c:v>
                </c:pt>
                <c:pt idx="7">
                  <c:v>0.39550000000000002</c:v>
                </c:pt>
                <c:pt idx="8">
                  <c:v>0.33169999999999999</c:v>
                </c:pt>
                <c:pt idx="9">
                  <c:v>0.26319999999999999</c:v>
                </c:pt>
                <c:pt idx="10">
                  <c:v>0.19</c:v>
                </c:pt>
                <c:pt idx="11">
                  <c:v>0.1123</c:v>
                </c:pt>
              </c:numCache>
            </c:numRef>
          </c:yVal>
          <c:smooth val="1"/>
        </c:ser>
        <c:ser>
          <c:idx val="22"/>
          <c:order val="7"/>
          <c:tx>
            <c:v>P/D = 1.2</c:v>
          </c:tx>
          <c:marker>
            <c:symbol val="none"/>
          </c:marker>
          <c:xVal>
            <c:numRef>
              <c:f>Kt!$A$9:$A$23</c:f>
              <c:numCache>
                <c:formatCode>0.0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</c:numCache>
            </c:numRef>
          </c:xVal>
          <c:yVal>
            <c:numRef>
              <c:f>Kt!$X$9:$X$23</c:f>
              <c:numCache>
                <c:formatCode>0.0000</c:formatCode>
                <c:ptCount val="15"/>
                <c:pt idx="0">
                  <c:v>0.83740000000000003</c:v>
                </c:pt>
                <c:pt idx="1">
                  <c:v>0.80400000000000005</c:v>
                </c:pt>
                <c:pt idx="2">
                  <c:v>0.76590000000000003</c:v>
                </c:pt>
                <c:pt idx="3">
                  <c:v>0.72309999999999997</c:v>
                </c:pt>
                <c:pt idx="4">
                  <c:v>0.67569999999999997</c:v>
                </c:pt>
                <c:pt idx="5">
                  <c:v>0.62339999999999995</c:v>
                </c:pt>
                <c:pt idx="6">
                  <c:v>0.5665</c:v>
                </c:pt>
                <c:pt idx="7">
                  <c:v>0.50490000000000002</c:v>
                </c:pt>
                <c:pt idx="8">
                  <c:v>0.4385</c:v>
                </c:pt>
                <c:pt idx="9">
                  <c:v>0.36749999999999999</c:v>
                </c:pt>
                <c:pt idx="10">
                  <c:v>0.29170000000000001</c:v>
                </c:pt>
                <c:pt idx="11">
                  <c:v>0.21129999999999999</c:v>
                </c:pt>
                <c:pt idx="12">
                  <c:v>0.12609999999999999</c:v>
                </c:pt>
              </c:numCache>
            </c:numRef>
          </c:yVal>
          <c:smooth val="1"/>
        </c:ser>
        <c:ser>
          <c:idx val="25"/>
          <c:order val="8"/>
          <c:tx>
            <c:v>P/D = 1.3</c:v>
          </c:tx>
          <c:marker>
            <c:symbol val="none"/>
          </c:marker>
          <c:xVal>
            <c:numRef>
              <c:f>Kt!$A$9:$A$23</c:f>
              <c:numCache>
                <c:formatCode>0.0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</c:numCache>
            </c:numRef>
          </c:xVal>
          <c:yVal>
            <c:numRef>
              <c:f>Kt!$AA$9:$AA$23</c:f>
              <c:numCache>
                <c:formatCode>0.0000</c:formatCode>
                <c:ptCount val="15"/>
                <c:pt idx="0">
                  <c:v>0.97170000000000001</c:v>
                </c:pt>
                <c:pt idx="1">
                  <c:v>0.93659999999999999</c:v>
                </c:pt>
                <c:pt idx="2">
                  <c:v>0.89670000000000005</c:v>
                </c:pt>
                <c:pt idx="3">
                  <c:v>0.85199999999999998</c:v>
                </c:pt>
                <c:pt idx="4">
                  <c:v>0.80259999999999998</c:v>
                </c:pt>
                <c:pt idx="5">
                  <c:v>0.74839999999999995</c:v>
                </c:pt>
                <c:pt idx="6">
                  <c:v>0.68940000000000001</c:v>
                </c:pt>
                <c:pt idx="7">
                  <c:v>0.62570000000000003</c:v>
                </c:pt>
                <c:pt idx="8">
                  <c:v>0.55710000000000004</c:v>
                </c:pt>
                <c:pt idx="9">
                  <c:v>0.4839</c:v>
                </c:pt>
                <c:pt idx="10">
                  <c:v>0.40579999999999999</c:v>
                </c:pt>
                <c:pt idx="11">
                  <c:v>0.32290000000000002</c:v>
                </c:pt>
                <c:pt idx="12">
                  <c:v>0.23530000000000001</c:v>
                </c:pt>
                <c:pt idx="13">
                  <c:v>0.1429</c:v>
                </c:pt>
              </c:numCache>
            </c:numRef>
          </c:yVal>
          <c:smooth val="1"/>
        </c:ser>
        <c:ser>
          <c:idx val="28"/>
          <c:order val="9"/>
          <c:tx>
            <c:v>P/D = 1.4</c:v>
          </c:tx>
          <c:marker>
            <c:symbol val="none"/>
          </c:marker>
          <c:xVal>
            <c:numRef>
              <c:f>Kt!$A$9:$A$23</c:f>
              <c:numCache>
                <c:formatCode>0.0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</c:numCache>
            </c:numRef>
          </c:xVal>
          <c:yVal>
            <c:numRef>
              <c:f>Kt!$AD$9:$AD$23</c:f>
              <c:numCache>
                <c:formatCode>0.0000</c:formatCode>
                <c:ptCount val="15"/>
                <c:pt idx="0">
                  <c:v>1.1161000000000001</c:v>
                </c:pt>
                <c:pt idx="1">
                  <c:v>1.0793999999999999</c:v>
                </c:pt>
                <c:pt idx="2">
                  <c:v>1.0378000000000001</c:v>
                </c:pt>
                <c:pt idx="3">
                  <c:v>0.99150000000000005</c:v>
                </c:pt>
                <c:pt idx="4">
                  <c:v>0.94030000000000002</c:v>
                </c:pt>
                <c:pt idx="5">
                  <c:v>0.88429999999999997</c:v>
                </c:pt>
                <c:pt idx="6">
                  <c:v>0.82350000000000001</c:v>
                </c:pt>
                <c:pt idx="7">
                  <c:v>0.75790000000000002</c:v>
                </c:pt>
                <c:pt idx="8">
                  <c:v>0.6875</c:v>
                </c:pt>
                <c:pt idx="9">
                  <c:v>0.61219999999999997</c:v>
                </c:pt>
                <c:pt idx="10">
                  <c:v>0.53220000000000001</c:v>
                </c:pt>
                <c:pt idx="11">
                  <c:v>0.44740000000000002</c:v>
                </c:pt>
                <c:pt idx="12">
                  <c:v>0.35770000000000002</c:v>
                </c:pt>
                <c:pt idx="13">
                  <c:v>0.26319999999999999</c:v>
                </c:pt>
                <c:pt idx="14">
                  <c:v>0.16400000000000001</c:v>
                </c:pt>
              </c:numCache>
            </c:numRef>
          </c:yVal>
          <c:smooth val="1"/>
        </c:ser>
        <c:ser>
          <c:idx val="0"/>
          <c:order val="10"/>
          <c:tx>
            <c:v>rendimento</c:v>
          </c:tx>
          <c:marker>
            <c:symbol val="none"/>
          </c:marker>
          <c:trendline>
            <c:trendlineType val="poly"/>
            <c:order val="2"/>
            <c:dispEq val="1"/>
            <c:trendlineLbl>
              <c:layout>
                <c:manualLayout>
                  <c:x val="0.10768278431767866"/>
                  <c:y val="-0.57203230811618166"/>
                </c:manualLayout>
              </c:layout>
              <c:numFmt formatCode="General" sourceLinked="0"/>
            </c:trendlineLbl>
          </c:trendline>
          <c:xVal>
            <c:numRef>
              <c:f>KQ!$C$66:$K$66</c:f>
              <c:numCache>
                <c:formatCode>0.0000</c:formatCode>
                <c:ptCount val="9"/>
                <c:pt idx="0">
                  <c:v>0.298351192332384</c:v>
                </c:pt>
                <c:pt idx="1">
                  <c:v>0.30784333832652927</c:v>
                </c:pt>
                <c:pt idx="2">
                  <c:v>0.3178674278620402</c:v>
                </c:pt>
                <c:pt idx="3">
                  <c:v>0.3279428200417891</c:v>
                </c:pt>
                <c:pt idx="4">
                  <c:v>0.33803069818799847</c:v>
                </c:pt>
                <c:pt idx="5">
                  <c:v>0.3482567753960128</c:v>
                </c:pt>
                <c:pt idx="6">
                  <c:v>0.358527085749903</c:v>
                </c:pt>
                <c:pt idx="7">
                  <c:v>0.36884653683070412</c:v>
                </c:pt>
                <c:pt idx="8">
                  <c:v>0.37919855516055562</c:v>
                </c:pt>
              </c:numCache>
            </c:numRef>
          </c:xVal>
          <c:yVal>
            <c:numRef>
              <c:f>KQ!$C$69:$K$69</c:f>
              <c:numCache>
                <c:formatCode>0.0000</c:formatCode>
                <c:ptCount val="9"/>
                <c:pt idx="0">
                  <c:v>0.65396448213405345</c:v>
                </c:pt>
                <c:pt idx="1">
                  <c:v>1.7355283910363675</c:v>
                </c:pt>
                <c:pt idx="2">
                  <c:v>1.5362901871696661</c:v>
                </c:pt>
                <c:pt idx="3">
                  <c:v>1.3819016109289652</c:v>
                </c:pt>
                <c:pt idx="4">
                  <c:v>1.2558680254964032</c:v>
                </c:pt>
                <c:pt idx="5">
                  <c:v>1.1483239892341834</c:v>
                </c:pt>
                <c:pt idx="6">
                  <c:v>1.0578220302892571</c:v>
                </c:pt>
                <c:pt idx="7">
                  <c:v>0.98043877646245159</c:v>
                </c:pt>
                <c:pt idx="8">
                  <c:v>0.91386132455248248</c:v>
                </c:pt>
              </c:numCache>
            </c:numRef>
          </c:yVal>
          <c:smooth val="1"/>
        </c:ser>
        <c:axId val="113859200"/>
        <c:axId val="113881472"/>
      </c:scatterChart>
      <c:valAx>
        <c:axId val="113859200"/>
        <c:scaling>
          <c:orientation val="minMax"/>
        </c:scaling>
        <c:axPos val="b"/>
        <c:numFmt formatCode="General" sourceLinked="1"/>
        <c:tickLblPos val="nextTo"/>
        <c:crossAx val="113881472"/>
        <c:crosses val="autoZero"/>
        <c:crossBetween val="midCat"/>
      </c:valAx>
      <c:valAx>
        <c:axId val="113881472"/>
        <c:scaling>
          <c:orientation val="minMax"/>
        </c:scaling>
        <c:axPos val="l"/>
        <c:majorGridlines/>
        <c:numFmt formatCode="0.0000" sourceLinked="1"/>
        <c:tickLblPos val="nextTo"/>
        <c:crossAx val="11385920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png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13" Type="http://schemas.openxmlformats.org/officeDocument/2006/relationships/image" Target="../media/image13.wmf"/><Relationship Id="rId3" Type="http://schemas.openxmlformats.org/officeDocument/2006/relationships/image" Target="../media/image3.wmf"/><Relationship Id="rId7" Type="http://schemas.openxmlformats.org/officeDocument/2006/relationships/image" Target="../media/image7.emf"/><Relationship Id="rId12" Type="http://schemas.openxmlformats.org/officeDocument/2006/relationships/image" Target="../media/image12.wmf"/><Relationship Id="rId2" Type="http://schemas.openxmlformats.org/officeDocument/2006/relationships/image" Target="../media/image2.wmf"/><Relationship Id="rId1" Type="http://schemas.openxmlformats.org/officeDocument/2006/relationships/image" Target="../media/image1.e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0" Type="http://schemas.openxmlformats.org/officeDocument/2006/relationships/image" Target="../media/image10.emf"/><Relationship Id="rId4" Type="http://schemas.openxmlformats.org/officeDocument/2006/relationships/image" Target="../media/image4.w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3.wmf"/><Relationship Id="rId7" Type="http://schemas.openxmlformats.org/officeDocument/2006/relationships/image" Target="../media/image15.emf"/><Relationship Id="rId2" Type="http://schemas.openxmlformats.org/officeDocument/2006/relationships/image" Target="../media/image2.wmf"/><Relationship Id="rId1" Type="http://schemas.openxmlformats.org/officeDocument/2006/relationships/image" Target="../media/image1.emf"/><Relationship Id="rId6" Type="http://schemas.openxmlformats.org/officeDocument/2006/relationships/image" Target="../media/image6.wmf"/><Relationship Id="rId11" Type="http://schemas.openxmlformats.org/officeDocument/2006/relationships/image" Target="../media/image17.wmf"/><Relationship Id="rId5" Type="http://schemas.openxmlformats.org/officeDocument/2006/relationships/image" Target="../media/image5.wmf"/><Relationship Id="rId10" Type="http://schemas.openxmlformats.org/officeDocument/2006/relationships/image" Target="../media/image13.wmf"/><Relationship Id="rId4" Type="http://schemas.openxmlformats.org/officeDocument/2006/relationships/image" Target="../media/image4.wmf"/><Relationship Id="rId9" Type="http://schemas.openxmlformats.org/officeDocument/2006/relationships/image" Target="../media/image1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50</xdr:row>
      <xdr:rowOff>57150</xdr:rowOff>
    </xdr:from>
    <xdr:to>
      <xdr:col>20</xdr:col>
      <xdr:colOff>457200</xdr:colOff>
      <xdr:row>89</xdr:row>
      <xdr:rowOff>57150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19049</xdr:colOff>
      <xdr:row>50</xdr:row>
      <xdr:rowOff>9525</xdr:rowOff>
    </xdr:from>
    <xdr:to>
      <xdr:col>29</xdr:col>
      <xdr:colOff>142874</xdr:colOff>
      <xdr:row>67</xdr:row>
      <xdr:rowOff>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581025</xdr:colOff>
      <xdr:row>36</xdr:row>
      <xdr:rowOff>38100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534400" y="5743575"/>
          <a:ext cx="2409825" cy="2000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13</xdr:row>
      <xdr:rowOff>19050</xdr:rowOff>
    </xdr:from>
    <xdr:to>
      <xdr:col>11</xdr:col>
      <xdr:colOff>600074</xdr:colOff>
      <xdr:row>34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4</xdr:col>
      <xdr:colOff>400050</xdr:colOff>
      <xdr:row>46</xdr:row>
      <xdr:rowOff>142875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9600" y="5991225"/>
          <a:ext cx="2228850" cy="1600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13" Type="http://schemas.openxmlformats.org/officeDocument/2006/relationships/oleObject" Target="../embeddings/oleObject11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12" Type="http://schemas.openxmlformats.org/officeDocument/2006/relationships/oleObject" Target="../embeddings/oleObject10.bin"/><Relationship Id="rId2" Type="http://schemas.openxmlformats.org/officeDocument/2006/relationships/vmlDrawing" Target="../drawings/vmlDrawing1.vml"/><Relationship Id="rId16" Type="http://schemas.openxmlformats.org/officeDocument/2006/relationships/oleObject" Target="../embeddings/oleObject14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4.bin"/><Relationship Id="rId11" Type="http://schemas.openxmlformats.org/officeDocument/2006/relationships/oleObject" Target="../embeddings/oleObject9.bin"/><Relationship Id="rId5" Type="http://schemas.openxmlformats.org/officeDocument/2006/relationships/oleObject" Target="../embeddings/oleObject3.bin"/><Relationship Id="rId15" Type="http://schemas.openxmlformats.org/officeDocument/2006/relationships/oleObject" Target="../embeddings/oleObject13.bin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7.bin"/><Relationship Id="rId14" Type="http://schemas.openxmlformats.org/officeDocument/2006/relationships/oleObject" Target="../embeddings/oleObject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0.bin"/><Relationship Id="rId13" Type="http://schemas.openxmlformats.org/officeDocument/2006/relationships/oleObject" Target="../embeddings/oleObject25.bin"/><Relationship Id="rId3" Type="http://schemas.openxmlformats.org/officeDocument/2006/relationships/oleObject" Target="../embeddings/oleObject15.bin"/><Relationship Id="rId7" Type="http://schemas.openxmlformats.org/officeDocument/2006/relationships/oleObject" Target="../embeddings/oleObject19.bin"/><Relationship Id="rId12" Type="http://schemas.openxmlformats.org/officeDocument/2006/relationships/oleObject" Target="../embeddings/oleObject24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18.bin"/><Relationship Id="rId11" Type="http://schemas.openxmlformats.org/officeDocument/2006/relationships/oleObject" Target="../embeddings/oleObject23.bin"/><Relationship Id="rId5" Type="http://schemas.openxmlformats.org/officeDocument/2006/relationships/oleObject" Target="../embeddings/oleObject17.bin"/><Relationship Id="rId10" Type="http://schemas.openxmlformats.org/officeDocument/2006/relationships/oleObject" Target="../embeddings/oleObject22.bin"/><Relationship Id="rId4" Type="http://schemas.openxmlformats.org/officeDocument/2006/relationships/oleObject" Target="../embeddings/oleObject16.bin"/><Relationship Id="rId9" Type="http://schemas.openxmlformats.org/officeDocument/2006/relationships/oleObject" Target="../embeddings/oleObject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6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5" Type="http://schemas.openxmlformats.org/officeDocument/2006/relationships/oleObject" Target="../embeddings/oleObject28.bin"/><Relationship Id="rId4" Type="http://schemas.openxmlformats.org/officeDocument/2006/relationships/oleObject" Target="../embeddings/oleObject2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oleObject" Target="../embeddings/oleObject2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tabSelected="1" view="pageLayout" workbookViewId="0">
      <selection activeCell="E6" sqref="E6"/>
    </sheetView>
  </sheetViews>
  <sheetFormatPr defaultRowHeight="12.75"/>
  <cols>
    <col min="1" max="1" width="10.28515625" customWidth="1"/>
    <col min="7" max="7" width="12.42578125" bestFit="1" customWidth="1"/>
    <col min="8" max="8" width="9.85546875" customWidth="1"/>
    <col min="10" max="10" width="10.85546875" customWidth="1"/>
    <col min="19" max="19" width="9.85546875" customWidth="1"/>
    <col min="27" max="27" width="9.7109375" customWidth="1"/>
  </cols>
  <sheetData>
    <row r="1" spans="1:27">
      <c r="A1" s="162" t="s">
        <v>13</v>
      </c>
      <c r="B1" s="163"/>
      <c r="C1" s="163"/>
      <c r="D1" s="163"/>
      <c r="E1" s="163"/>
      <c r="F1" s="163"/>
      <c r="G1" s="163"/>
      <c r="H1" s="163"/>
      <c r="I1" s="164"/>
      <c r="J1" s="162" t="s">
        <v>13</v>
      </c>
      <c r="K1" s="163"/>
      <c r="L1" s="163"/>
      <c r="M1" s="163"/>
      <c r="N1" s="163"/>
      <c r="O1" s="163"/>
      <c r="P1" s="163"/>
      <c r="Q1" s="163"/>
      <c r="R1" s="164"/>
      <c r="S1" s="162" t="s">
        <v>13</v>
      </c>
      <c r="T1" s="163"/>
      <c r="U1" s="163"/>
      <c r="V1" s="163"/>
      <c r="W1" s="163"/>
      <c r="X1" s="163"/>
      <c r="Y1" s="163"/>
      <c r="Z1" s="163"/>
      <c r="AA1" s="164"/>
    </row>
    <row r="2" spans="1:27" ht="15">
      <c r="A2" s="165" t="s">
        <v>14</v>
      </c>
      <c r="B2" s="166"/>
      <c r="C2" s="166"/>
      <c r="D2" s="166"/>
      <c r="E2" s="166"/>
      <c r="F2" s="166"/>
      <c r="G2" s="166"/>
      <c r="H2" s="166"/>
      <c r="I2" s="167"/>
      <c r="J2" s="165" t="s">
        <v>14</v>
      </c>
      <c r="K2" s="166"/>
      <c r="L2" s="166"/>
      <c r="M2" s="166"/>
      <c r="N2" s="166"/>
      <c r="O2" s="166"/>
      <c r="P2" s="166"/>
      <c r="Q2" s="166"/>
      <c r="R2" s="167"/>
      <c r="S2" s="165" t="s">
        <v>14</v>
      </c>
      <c r="T2" s="166"/>
      <c r="U2" s="166"/>
      <c r="V2" s="166"/>
      <c r="W2" s="166"/>
      <c r="X2" s="166"/>
      <c r="Y2" s="166"/>
      <c r="Z2" s="166"/>
      <c r="AA2" s="167"/>
    </row>
    <row r="3" spans="1:27">
      <c r="A3" s="168"/>
      <c r="B3" s="169"/>
      <c r="C3" s="170"/>
      <c r="D3" s="116" t="s">
        <v>2</v>
      </c>
      <c r="E3" s="114"/>
      <c r="F3" s="115"/>
      <c r="G3" s="168" t="s">
        <v>141</v>
      </c>
      <c r="H3" s="169"/>
      <c r="I3" s="170"/>
      <c r="J3" s="168"/>
      <c r="K3" s="169"/>
      <c r="L3" s="170"/>
      <c r="M3" s="3" t="s">
        <v>2</v>
      </c>
      <c r="N3" s="1"/>
      <c r="O3" s="2"/>
      <c r="P3" s="168" t="s">
        <v>141</v>
      </c>
      <c r="Q3" s="169"/>
      <c r="R3" s="170"/>
      <c r="S3" s="168"/>
      <c r="T3" s="169"/>
      <c r="U3" s="170"/>
      <c r="V3" s="3" t="s">
        <v>2</v>
      </c>
      <c r="W3" s="1"/>
      <c r="X3" s="2"/>
      <c r="Y3" s="168"/>
      <c r="Z3" s="169"/>
      <c r="AA3" s="170"/>
    </row>
    <row r="4" spans="1:27" ht="15">
      <c r="A4" s="158"/>
      <c r="B4" s="159"/>
      <c r="C4" s="160"/>
      <c r="D4" s="147" t="s">
        <v>147</v>
      </c>
      <c r="E4" s="107"/>
      <c r="F4" s="108"/>
      <c r="G4" s="158" t="s">
        <v>148</v>
      </c>
      <c r="H4" s="159"/>
      <c r="I4" s="160"/>
      <c r="J4" s="158"/>
      <c r="K4" s="159"/>
      <c r="L4" s="160"/>
      <c r="M4" s="161" t="s">
        <v>147</v>
      </c>
      <c r="N4" s="159"/>
      <c r="O4" s="160"/>
      <c r="P4" s="158" t="s">
        <v>148</v>
      </c>
      <c r="Q4" s="159"/>
      <c r="R4" s="160"/>
      <c r="S4" s="158"/>
      <c r="T4" s="159"/>
      <c r="U4" s="160"/>
      <c r="V4" s="161" t="s">
        <v>149</v>
      </c>
      <c r="W4" s="159"/>
      <c r="X4" s="160"/>
      <c r="Y4" s="158"/>
      <c r="Z4" s="159"/>
      <c r="AA4" s="160"/>
    </row>
    <row r="5" spans="1:27">
      <c r="A5" s="4"/>
      <c r="B5" s="103"/>
      <c r="C5" s="103"/>
      <c r="D5" s="103"/>
      <c r="E5" s="103"/>
      <c r="F5" s="103"/>
      <c r="G5" s="103"/>
      <c r="H5" s="103"/>
      <c r="I5" s="104"/>
      <c r="J5" s="4"/>
      <c r="K5" s="5"/>
      <c r="L5" s="5"/>
      <c r="M5" s="5"/>
      <c r="N5" s="5"/>
      <c r="O5" s="5"/>
      <c r="P5" s="5"/>
      <c r="Q5" s="5"/>
      <c r="R5" s="6"/>
      <c r="S5" s="4"/>
      <c r="T5" s="5"/>
      <c r="U5" s="5"/>
      <c r="V5" s="5"/>
      <c r="W5" s="5"/>
      <c r="X5" s="5"/>
      <c r="Y5" s="5"/>
      <c r="Z5" s="5"/>
      <c r="AA5" s="6"/>
    </row>
    <row r="6" spans="1:27">
      <c r="A6" s="7"/>
      <c r="B6" s="16"/>
      <c r="C6" s="16"/>
      <c r="D6" s="16"/>
      <c r="E6" s="16"/>
      <c r="F6" s="16"/>
      <c r="G6" s="16"/>
      <c r="H6" s="16"/>
      <c r="I6" s="9"/>
      <c r="J6" s="7"/>
      <c r="K6" s="8"/>
      <c r="L6" s="8"/>
      <c r="M6" s="8"/>
      <c r="N6" s="8"/>
      <c r="O6" s="8"/>
      <c r="P6" s="8"/>
      <c r="Q6" s="8"/>
      <c r="R6" s="9"/>
      <c r="S6" s="7"/>
      <c r="T6" s="8"/>
      <c r="U6" s="8"/>
      <c r="V6" s="8"/>
      <c r="W6" s="8"/>
      <c r="X6" s="8"/>
      <c r="Y6" s="8"/>
      <c r="Z6" s="8"/>
      <c r="AA6" s="9"/>
    </row>
    <row r="7" spans="1:27">
      <c r="A7" s="150" t="s">
        <v>16</v>
      </c>
      <c r="B7" s="151"/>
      <c r="C7" s="151"/>
      <c r="D7" s="110"/>
      <c r="E7" s="110"/>
      <c r="F7" s="110"/>
      <c r="G7" s="110"/>
      <c r="H7" s="110"/>
      <c r="I7" s="111"/>
      <c r="J7" s="7"/>
      <c r="K7" s="8"/>
      <c r="L7" s="8"/>
      <c r="M7" s="8"/>
      <c r="N7" s="8"/>
      <c r="O7" s="8"/>
      <c r="P7" s="8"/>
      <c r="Q7" s="8"/>
      <c r="R7" s="9"/>
      <c r="S7" s="7"/>
      <c r="T7" s="8"/>
      <c r="U7" s="8"/>
      <c r="V7" s="8"/>
      <c r="W7" s="8"/>
      <c r="X7" s="8"/>
      <c r="Y7" s="8"/>
      <c r="Z7" s="8"/>
      <c r="AA7" s="9"/>
    </row>
    <row r="8" spans="1:27">
      <c r="A8" s="150" t="s">
        <v>17</v>
      </c>
      <c r="B8" s="151"/>
      <c r="C8" s="151"/>
      <c r="D8" s="110"/>
      <c r="E8" s="110"/>
      <c r="F8" s="110"/>
      <c r="G8" s="110"/>
      <c r="H8" s="110"/>
      <c r="I8" s="111"/>
      <c r="J8" s="7"/>
      <c r="K8" s="8"/>
      <c r="L8" s="8"/>
      <c r="M8" s="8"/>
      <c r="N8" s="8"/>
      <c r="O8" s="8"/>
      <c r="P8" s="8"/>
      <c r="Q8" s="8"/>
      <c r="R8" s="9"/>
      <c r="S8" s="7"/>
      <c r="T8" s="8" t="s">
        <v>63</v>
      </c>
      <c r="U8" s="8"/>
      <c r="V8" s="8"/>
      <c r="W8" s="8"/>
      <c r="X8" s="8"/>
      <c r="Y8" s="8"/>
      <c r="Z8" s="8"/>
      <c r="AA8" s="9"/>
    </row>
    <row r="9" spans="1:27">
      <c r="A9" s="7"/>
      <c r="B9" s="16"/>
      <c r="C9" s="16"/>
      <c r="D9" s="16"/>
      <c r="E9" s="16"/>
      <c r="F9" s="16"/>
      <c r="G9" s="16"/>
      <c r="H9" s="16"/>
      <c r="I9" s="9"/>
      <c r="J9" s="7"/>
      <c r="K9" s="8"/>
      <c r="L9" s="8"/>
      <c r="M9" s="8"/>
      <c r="N9" s="8"/>
      <c r="O9" s="8"/>
      <c r="P9" s="8"/>
      <c r="Q9" s="8"/>
      <c r="R9" s="9"/>
      <c r="S9" s="7"/>
      <c r="T9" s="8"/>
      <c r="U9" s="8"/>
      <c r="V9" s="8"/>
      <c r="W9" s="8"/>
      <c r="X9" s="8"/>
      <c r="Y9" s="8"/>
      <c r="Z9" s="8"/>
      <c r="AA9" s="9"/>
    </row>
    <row r="10" spans="1:27">
      <c r="A10" s="52" t="s">
        <v>23</v>
      </c>
      <c r="B10" s="16"/>
      <c r="C10" s="28"/>
      <c r="D10" s="16"/>
      <c r="E10" s="112" t="s">
        <v>26</v>
      </c>
      <c r="F10" s="112"/>
      <c r="G10" s="112"/>
      <c r="H10" s="29"/>
      <c r="I10" s="9"/>
      <c r="J10" s="7"/>
      <c r="K10" s="8"/>
      <c r="L10" s="8"/>
      <c r="M10" s="8"/>
      <c r="N10" s="8"/>
      <c r="O10" s="8"/>
      <c r="P10" s="8"/>
      <c r="Q10" s="8"/>
      <c r="R10" s="9"/>
      <c r="S10" s="7"/>
      <c r="U10" s="66">
        <f>+((G25*10^3*C24^2)/(2*PI()*1025.9*E36^5))</f>
        <v>9.5639966979604694</v>
      </c>
      <c r="V10" s="8"/>
      <c r="W10" s="8"/>
      <c r="X10" s="8"/>
      <c r="Y10" s="8"/>
      <c r="Z10" s="8"/>
      <c r="AA10" s="9"/>
    </row>
    <row r="11" spans="1:27">
      <c r="A11" s="7"/>
      <c r="B11" s="16"/>
      <c r="C11" s="28"/>
      <c r="D11" s="16"/>
      <c r="E11" s="38"/>
      <c r="F11" s="35" t="s">
        <v>42</v>
      </c>
      <c r="G11" s="29">
        <v>11</v>
      </c>
      <c r="H11" s="38" t="s">
        <v>32</v>
      </c>
      <c r="I11" s="9"/>
      <c r="J11" s="7"/>
      <c r="K11" s="8"/>
      <c r="L11" s="8"/>
      <c r="M11" s="8"/>
      <c r="N11" s="8"/>
      <c r="O11" s="8"/>
      <c r="P11" s="8"/>
      <c r="Q11" s="8"/>
      <c r="R11" s="9"/>
      <c r="S11" s="7"/>
      <c r="T11" s="8"/>
      <c r="U11" s="8"/>
      <c r="V11" s="8"/>
      <c r="W11" s="8"/>
      <c r="X11" s="8"/>
      <c r="Y11" s="8"/>
      <c r="Z11" s="8"/>
      <c r="AA11" s="9"/>
    </row>
    <row r="12" spans="1:27">
      <c r="A12" s="7"/>
      <c r="B12" s="35" t="s">
        <v>40</v>
      </c>
      <c r="C12" s="110">
        <v>750</v>
      </c>
      <c r="D12" s="51" t="s">
        <v>28</v>
      </c>
      <c r="E12" s="38"/>
      <c r="F12" s="35" t="s">
        <v>43</v>
      </c>
      <c r="G12" s="110">
        <v>53</v>
      </c>
      <c r="H12" s="38" t="s">
        <v>5</v>
      </c>
      <c r="I12" s="9"/>
      <c r="J12" s="7"/>
      <c r="K12" s="8"/>
      <c r="L12" s="8"/>
      <c r="M12" s="8"/>
      <c r="N12" s="8"/>
      <c r="O12" s="8"/>
      <c r="P12" s="8"/>
      <c r="Q12" s="8"/>
      <c r="R12" s="9"/>
      <c r="S12" s="7"/>
      <c r="T12" s="8"/>
      <c r="U12" s="8"/>
      <c r="V12" s="8"/>
      <c r="W12" s="8"/>
      <c r="X12" s="8"/>
      <c r="Y12" s="8"/>
      <c r="Z12" s="8"/>
      <c r="AA12" s="9"/>
    </row>
    <row r="13" spans="1:27">
      <c r="A13" s="36"/>
      <c r="B13" s="55" t="s">
        <v>41</v>
      </c>
      <c r="C13" s="29">
        <v>1800</v>
      </c>
      <c r="D13" s="38" t="s">
        <v>29</v>
      </c>
      <c r="E13" s="38"/>
      <c r="F13" s="35" t="s">
        <v>44</v>
      </c>
      <c r="G13" s="110">
        <v>11</v>
      </c>
      <c r="H13" s="38" t="s">
        <v>5</v>
      </c>
      <c r="I13" s="39"/>
      <c r="J13" s="7"/>
      <c r="K13" s="8" t="s">
        <v>18</v>
      </c>
      <c r="L13" s="8"/>
      <c r="M13" s="8"/>
      <c r="N13" s="8"/>
      <c r="O13" s="8"/>
      <c r="P13" s="8"/>
      <c r="Q13" s="8"/>
      <c r="R13" s="9"/>
      <c r="S13" s="7"/>
      <c r="T13" s="8"/>
      <c r="U13" s="8"/>
      <c r="V13" s="8"/>
      <c r="W13" s="8"/>
      <c r="X13" s="8"/>
      <c r="Y13" s="8"/>
      <c r="Z13" s="8"/>
      <c r="AA13" s="9"/>
    </row>
    <row r="14" spans="1:27">
      <c r="A14" s="36"/>
      <c r="B14" s="37"/>
      <c r="C14" s="38">
        <f>+C12*745.6999/1000</f>
        <v>559.27492499999994</v>
      </c>
      <c r="D14" s="43" t="s">
        <v>52</v>
      </c>
      <c r="E14" s="38"/>
      <c r="F14" s="35" t="s">
        <v>45</v>
      </c>
      <c r="G14" s="110">
        <v>2.2000000000000002</v>
      </c>
      <c r="H14" s="38" t="s">
        <v>5</v>
      </c>
      <c r="I14" s="39"/>
      <c r="J14" s="7"/>
      <c r="K14" s="8" t="s">
        <v>19</v>
      </c>
      <c r="L14" s="8"/>
      <c r="M14" s="8"/>
      <c r="N14" s="8"/>
      <c r="O14" s="8"/>
      <c r="P14" s="8"/>
      <c r="Q14" s="8"/>
      <c r="R14" s="9"/>
      <c r="S14" s="7"/>
      <c r="T14" s="11" t="s">
        <v>65</v>
      </c>
      <c r="U14" s="11" t="s">
        <v>90</v>
      </c>
      <c r="V14" s="8"/>
      <c r="W14" s="8"/>
      <c r="X14" s="8">
        <f>49*((((750*0.85)^0.2)/((1800/2.45)^0.6))*0.3048)</f>
        <v>1.0361991413556857</v>
      </c>
      <c r="Y14" s="8"/>
      <c r="Z14" s="8"/>
      <c r="AA14" s="9"/>
    </row>
    <row r="15" spans="1:27">
      <c r="A15" s="7"/>
      <c r="B15" s="16"/>
      <c r="C15" s="16"/>
      <c r="D15" s="16"/>
      <c r="E15" s="38"/>
      <c r="F15" s="35" t="s">
        <v>46</v>
      </c>
      <c r="G15" s="110">
        <v>1080</v>
      </c>
      <c r="H15" s="38" t="s">
        <v>3</v>
      </c>
      <c r="I15" s="39"/>
      <c r="J15" s="7"/>
      <c r="K15" s="8" t="s">
        <v>20</v>
      </c>
      <c r="L15" s="8"/>
      <c r="M15" s="8"/>
      <c r="N15" s="8"/>
      <c r="O15" s="8"/>
      <c r="P15" s="8"/>
      <c r="Q15" s="8"/>
      <c r="R15" s="9"/>
      <c r="S15" s="7"/>
      <c r="T15" s="67">
        <f>+KQ!D11</f>
        <v>0.2</v>
      </c>
      <c r="U15" s="68">
        <f>10*($U$10*T15^5)</f>
        <v>3.0604789433473521E-2</v>
      </c>
      <c r="V15" s="8"/>
      <c r="W15" s="8"/>
      <c r="X15" s="8"/>
      <c r="Y15" s="8"/>
      <c r="Z15" s="8"/>
      <c r="AA15" s="9"/>
    </row>
    <row r="16" spans="1:27">
      <c r="A16" s="7"/>
      <c r="B16" s="16"/>
      <c r="C16" s="16"/>
      <c r="D16" s="16"/>
      <c r="E16" s="38"/>
      <c r="F16" s="35" t="s">
        <v>69</v>
      </c>
      <c r="G16" s="110">
        <v>0.82599999999999996</v>
      </c>
      <c r="H16" s="38"/>
      <c r="I16" s="39"/>
      <c r="J16" s="7"/>
      <c r="K16" s="8"/>
      <c r="L16" s="8"/>
      <c r="M16" s="8"/>
      <c r="N16" s="8"/>
      <c r="O16" s="8"/>
      <c r="P16" s="8"/>
      <c r="Q16" s="8"/>
      <c r="R16" s="9"/>
      <c r="S16" s="7"/>
      <c r="T16" s="67">
        <f t="shared" ref="T16:T18" si="0">+T15+0.1</f>
        <v>0.30000000000000004</v>
      </c>
      <c r="U16" s="68">
        <f t="shared" ref="U16:U18" si="1">10*($U$10*T16^5)</f>
        <v>0.23240511976043957</v>
      </c>
      <c r="V16" s="8"/>
      <c r="W16" s="8" t="s">
        <v>55</v>
      </c>
      <c r="X16" s="8"/>
      <c r="Y16" s="8"/>
      <c r="Z16" s="8"/>
      <c r="AA16" s="9"/>
    </row>
    <row r="17" spans="1:27">
      <c r="A17" s="7"/>
      <c r="B17" s="16"/>
      <c r="C17" s="16"/>
      <c r="D17" s="16"/>
      <c r="E17" s="38"/>
      <c r="F17" s="35" t="s">
        <v>68</v>
      </c>
      <c r="G17" s="110">
        <v>111.414</v>
      </c>
      <c r="H17" s="38" t="s">
        <v>70</v>
      </c>
      <c r="I17" s="39"/>
      <c r="J17" s="7"/>
      <c r="K17" s="8" t="s">
        <v>21</v>
      </c>
      <c r="L17" s="8"/>
      <c r="M17" s="8"/>
      <c r="N17" s="8"/>
      <c r="O17" s="8"/>
      <c r="P17" s="8"/>
      <c r="Q17" s="8"/>
      <c r="R17" s="9"/>
      <c r="S17" s="7"/>
      <c r="T17" s="67">
        <f t="shared" si="0"/>
        <v>0.4</v>
      </c>
      <c r="U17" s="68">
        <f t="shared" si="1"/>
        <v>0.97935326187115268</v>
      </c>
      <c r="V17" s="8"/>
      <c r="W17" s="8" t="s">
        <v>80</v>
      </c>
      <c r="X17" s="8"/>
      <c r="Y17" s="8"/>
      <c r="Z17" s="8"/>
      <c r="AA17" s="9"/>
    </row>
    <row r="18" spans="1:27">
      <c r="A18" s="7"/>
      <c r="B18" s="16"/>
      <c r="C18" s="16"/>
      <c r="D18" s="16"/>
      <c r="E18" s="16"/>
      <c r="F18" s="16"/>
      <c r="G18" s="16"/>
      <c r="H18" s="16"/>
      <c r="I18" s="9"/>
      <c r="J18" s="7"/>
      <c r="K18" s="8" t="s">
        <v>38</v>
      </c>
      <c r="L18" s="8"/>
      <c r="M18" s="8"/>
      <c r="N18" s="8"/>
      <c r="O18" s="8"/>
      <c r="P18" s="62">
        <f>(P24*(85/1800)^3)^(1/5)</f>
        <v>0.5704694502683415</v>
      </c>
      <c r="Q18" s="8" t="s">
        <v>5</v>
      </c>
      <c r="R18" s="9"/>
      <c r="S18" s="7"/>
      <c r="T18" s="67">
        <f t="shared" si="0"/>
        <v>0.5</v>
      </c>
      <c r="U18" s="68">
        <f t="shared" si="1"/>
        <v>2.9887489681126467</v>
      </c>
      <c r="V18" s="8"/>
      <c r="W18" s="122" t="s">
        <v>102</v>
      </c>
      <c r="X18" s="8"/>
      <c r="Y18" s="62"/>
      <c r="Z18" s="8"/>
      <c r="AA18" s="9"/>
    </row>
    <row r="19" spans="1:27">
      <c r="A19" s="7"/>
      <c r="B19" s="16"/>
      <c r="C19" s="16"/>
      <c r="D19" s="16"/>
      <c r="E19" s="16"/>
      <c r="F19" s="16"/>
      <c r="G19" s="16"/>
      <c r="H19" s="16"/>
      <c r="I19" s="9"/>
      <c r="J19" s="7"/>
      <c r="K19" s="8" t="s">
        <v>22</v>
      </c>
      <c r="L19" s="8"/>
      <c r="M19" s="8"/>
      <c r="N19" s="8"/>
      <c r="O19" s="8"/>
      <c r="P19" s="8"/>
      <c r="Q19" s="8"/>
      <c r="R19" s="9"/>
      <c r="S19" s="7"/>
      <c r="T19" s="67"/>
      <c r="U19" s="68"/>
      <c r="V19" s="8"/>
      <c r="W19" s="8"/>
      <c r="X19" s="8"/>
      <c r="Y19" s="8"/>
      <c r="Z19" s="8"/>
      <c r="AA19" s="9"/>
    </row>
    <row r="20" spans="1:27">
      <c r="A20" s="53" t="s">
        <v>39</v>
      </c>
      <c r="B20" s="38"/>
      <c r="C20" s="38"/>
      <c r="D20" s="38"/>
      <c r="E20" s="54" t="s">
        <v>24</v>
      </c>
      <c r="F20" s="40"/>
      <c r="G20" s="40"/>
      <c r="H20" s="40"/>
      <c r="I20" s="39"/>
      <c r="J20" s="7"/>
      <c r="K20" s="8" t="s">
        <v>25</v>
      </c>
      <c r="L20" s="8"/>
      <c r="M20" s="8"/>
      <c r="N20" s="8"/>
      <c r="O20" s="8"/>
      <c r="P20" s="8"/>
      <c r="Q20" s="8"/>
      <c r="R20" s="9"/>
      <c r="S20" s="7"/>
      <c r="T20" s="67"/>
      <c r="U20" s="68"/>
      <c r="V20" s="8"/>
      <c r="W20" s="8" t="s">
        <v>71</v>
      </c>
      <c r="X20" s="8"/>
      <c r="Y20" s="8"/>
      <c r="Z20" s="8"/>
      <c r="AA20" s="9"/>
    </row>
    <row r="21" spans="1:27">
      <c r="A21" s="42"/>
      <c r="B21" s="38"/>
      <c r="C21" s="38"/>
      <c r="D21" s="38"/>
      <c r="E21" s="38"/>
      <c r="F21" s="35" t="s">
        <v>51</v>
      </c>
      <c r="G21" s="57">
        <v>4</v>
      </c>
      <c r="H21" s="38" t="s">
        <v>30</v>
      </c>
      <c r="I21" s="39"/>
      <c r="J21" s="7"/>
      <c r="K21" s="8" t="s">
        <v>27</v>
      </c>
      <c r="L21" s="8"/>
      <c r="M21" s="8"/>
      <c r="N21" s="8"/>
      <c r="O21" s="8"/>
      <c r="P21" s="8"/>
      <c r="Q21" s="8"/>
      <c r="R21" s="9"/>
      <c r="S21" s="7"/>
      <c r="T21" s="67"/>
      <c r="U21" s="68"/>
      <c r="V21" s="8"/>
      <c r="W21" s="8"/>
      <c r="X21" s="8"/>
      <c r="Y21" s="8"/>
      <c r="Z21" s="8"/>
      <c r="AA21" s="9"/>
    </row>
    <row r="22" spans="1:27">
      <c r="A22" s="42"/>
      <c r="B22" s="35" t="s">
        <v>47</v>
      </c>
      <c r="C22" s="35">
        <v>2.4500000000000002</v>
      </c>
      <c r="D22" s="38"/>
      <c r="E22" s="110"/>
      <c r="F22" s="35" t="s">
        <v>50</v>
      </c>
      <c r="G22" s="119">
        <v>1.5</v>
      </c>
      <c r="H22" s="113" t="s">
        <v>5</v>
      </c>
      <c r="I22" s="39"/>
      <c r="J22" s="7"/>
      <c r="K22" s="8" t="s">
        <v>31</v>
      </c>
      <c r="L22" s="8"/>
      <c r="M22" s="8"/>
      <c r="N22" s="8"/>
      <c r="O22" s="8"/>
      <c r="P22" s="65">
        <f>G11*0.514444444</f>
        <v>5.6588888839999996</v>
      </c>
      <c r="Q22" s="8" t="s">
        <v>35</v>
      </c>
      <c r="R22" s="9"/>
      <c r="S22" s="7"/>
      <c r="T22" s="67"/>
      <c r="U22" s="68"/>
      <c r="V22" s="8"/>
      <c r="W22" s="8"/>
      <c r="X22" s="35" t="s">
        <v>73</v>
      </c>
      <c r="Y22" s="65">
        <f>+KQ!$D$66</f>
        <v>0.30784333832652927</v>
      </c>
      <c r="Z22" s="8"/>
      <c r="AA22" s="9"/>
    </row>
    <row r="23" spans="1:27">
      <c r="A23" s="109"/>
      <c r="B23" s="35" t="s">
        <v>48</v>
      </c>
      <c r="C23" s="50">
        <f>C13/C22</f>
        <v>734.69387755102036</v>
      </c>
      <c r="D23" s="113" t="s">
        <v>29</v>
      </c>
      <c r="E23" s="38"/>
      <c r="F23" s="47"/>
      <c r="G23" s="49"/>
      <c r="H23" s="38"/>
      <c r="I23" s="39"/>
      <c r="J23" s="7"/>
      <c r="K23" s="8"/>
      <c r="L23" s="8"/>
      <c r="M23" s="8"/>
      <c r="N23" s="8"/>
      <c r="O23" s="8"/>
      <c r="P23" s="8"/>
      <c r="Q23" s="8"/>
      <c r="R23" s="9"/>
      <c r="S23" s="7"/>
      <c r="T23" s="67"/>
      <c r="U23" s="68"/>
      <c r="V23" s="8"/>
      <c r="W23" s="8"/>
      <c r="X23" s="8"/>
      <c r="Y23" s="8"/>
      <c r="Z23" s="8"/>
      <c r="AA23" s="9"/>
    </row>
    <row r="24" spans="1:27">
      <c r="A24" s="109"/>
      <c r="B24" s="35" t="s">
        <v>48</v>
      </c>
      <c r="C24" s="50">
        <f>+C23/60</f>
        <v>12.244897959183673</v>
      </c>
      <c r="D24" s="113" t="s">
        <v>64</v>
      </c>
      <c r="E24" s="38"/>
      <c r="F24" s="35" t="s">
        <v>58</v>
      </c>
      <c r="G24" s="30">
        <f>C25*0.98</f>
        <v>661.5</v>
      </c>
      <c r="H24" s="51" t="s">
        <v>28</v>
      </c>
      <c r="I24" s="39"/>
      <c r="J24" s="7"/>
      <c r="K24" s="8"/>
      <c r="L24" s="8"/>
      <c r="M24" s="8"/>
      <c r="N24" s="8"/>
      <c r="O24" s="8"/>
      <c r="P24" s="63">
        <f>0.85*C25</f>
        <v>573.75</v>
      </c>
      <c r="Q24" s="8" t="s">
        <v>28</v>
      </c>
      <c r="R24" s="9"/>
      <c r="S24" s="52"/>
      <c r="T24" s="72" t="s">
        <v>72</v>
      </c>
      <c r="U24" s="68"/>
      <c r="V24" s="8"/>
      <c r="W24" s="8"/>
      <c r="X24" s="8"/>
      <c r="Y24" s="63"/>
      <c r="Z24" s="8"/>
      <c r="AA24" s="9"/>
    </row>
    <row r="25" spans="1:27">
      <c r="A25" s="34"/>
      <c r="B25" s="35" t="s">
        <v>49</v>
      </c>
      <c r="C25" s="47">
        <f>C12*0.9</f>
        <v>675</v>
      </c>
      <c r="D25" s="113" t="s">
        <v>28</v>
      </c>
      <c r="E25" s="38"/>
      <c r="F25" s="35" t="s">
        <v>58</v>
      </c>
      <c r="G25" s="30">
        <f>+G24*745.6999/1000</f>
        <v>493.28048384999994</v>
      </c>
      <c r="H25" s="38" t="s">
        <v>52</v>
      </c>
      <c r="I25" s="39"/>
      <c r="J25" s="7"/>
      <c r="K25" s="8"/>
      <c r="L25" s="8"/>
      <c r="M25" s="8"/>
      <c r="N25" s="8"/>
      <c r="O25" s="8"/>
      <c r="P25" s="64"/>
      <c r="Q25" s="8"/>
      <c r="R25" s="9"/>
      <c r="S25" s="7"/>
      <c r="U25" s="8"/>
      <c r="V25" s="8"/>
      <c r="W25" s="8"/>
      <c r="X25" s="8"/>
      <c r="Y25" s="64"/>
      <c r="Z25" s="8"/>
      <c r="AA25" s="9"/>
    </row>
    <row r="26" spans="1:27">
      <c r="A26" s="34"/>
      <c r="B26" s="16"/>
      <c r="C26" s="16"/>
      <c r="D26" s="29"/>
      <c r="E26" s="38"/>
      <c r="F26" s="41"/>
      <c r="G26" s="38"/>
      <c r="H26" s="38"/>
      <c r="I26" s="39"/>
      <c r="J26" s="7"/>
      <c r="K26" s="8" t="s">
        <v>33</v>
      </c>
      <c r="L26" s="8"/>
      <c r="M26" s="8"/>
      <c r="N26" s="8"/>
      <c r="O26" s="8"/>
      <c r="P26" s="64"/>
      <c r="Q26" s="8"/>
      <c r="R26" s="9"/>
      <c r="S26" s="7"/>
      <c r="T26" s="8"/>
      <c r="U26" s="8"/>
      <c r="V26" s="8"/>
      <c r="W26" s="8"/>
      <c r="X26" s="8"/>
      <c r="Y26" s="64"/>
      <c r="Z26" s="8"/>
      <c r="AA26" s="9"/>
    </row>
    <row r="27" spans="1:27">
      <c r="A27" s="42"/>
      <c r="B27" s="38"/>
      <c r="C27" s="38"/>
      <c r="D27" s="38"/>
      <c r="E27" s="38"/>
      <c r="F27" s="41"/>
      <c r="G27" s="38"/>
      <c r="H27" s="38"/>
      <c r="I27" s="39"/>
      <c r="J27" s="7"/>
      <c r="K27" s="8" t="s">
        <v>34</v>
      </c>
      <c r="L27" s="8"/>
      <c r="M27" s="8"/>
      <c r="N27" s="8"/>
      <c r="O27" s="8"/>
      <c r="P27" s="63">
        <f>0.55*P24</f>
        <v>315.5625</v>
      </c>
      <c r="Q27" s="8" t="s">
        <v>28</v>
      </c>
      <c r="R27" s="9"/>
      <c r="S27" s="7"/>
      <c r="T27" s="8"/>
      <c r="U27" s="8"/>
      <c r="V27" s="35" t="s">
        <v>74</v>
      </c>
      <c r="W27" s="70">
        <f>+E36/(C24*Y22)</f>
        <v>1.0952948895928687</v>
      </c>
      <c r="X27" s="8" t="s">
        <v>5</v>
      </c>
      <c r="Y27" s="63"/>
      <c r="Z27" s="8"/>
      <c r="AA27" s="9"/>
    </row>
    <row r="28" spans="1:27">
      <c r="A28" s="109" t="s">
        <v>53</v>
      </c>
      <c r="B28" s="110"/>
      <c r="C28" s="110"/>
      <c r="D28" s="110"/>
      <c r="E28" s="110"/>
      <c r="F28" s="110"/>
      <c r="G28" s="110"/>
      <c r="H28" s="110"/>
      <c r="I28" s="111"/>
      <c r="J28" s="7"/>
      <c r="K28" s="8" t="s">
        <v>36</v>
      </c>
      <c r="L28" s="8"/>
      <c r="M28" s="8"/>
      <c r="N28" s="8"/>
      <c r="O28" s="8"/>
      <c r="P28" s="65">
        <f>1-P31</f>
        <v>0.27039999999999997</v>
      </c>
      <c r="Q28" s="8"/>
      <c r="R28" s="9"/>
      <c r="S28" s="7"/>
      <c r="T28" s="8"/>
      <c r="U28" s="8"/>
      <c r="V28" s="8"/>
      <c r="W28" s="8"/>
      <c r="X28" s="8"/>
      <c r="Y28" s="8"/>
      <c r="Z28" s="8"/>
      <c r="AA28" s="9"/>
    </row>
    <row r="29" spans="1:27">
      <c r="A29" s="109" t="s">
        <v>54</v>
      </c>
      <c r="B29" s="110"/>
      <c r="C29" s="110"/>
      <c r="D29" s="110"/>
      <c r="E29" s="110"/>
      <c r="F29" s="110"/>
      <c r="G29" s="110"/>
      <c r="H29" s="110"/>
      <c r="I29" s="111"/>
      <c r="J29" s="7"/>
      <c r="K29" s="8" t="s">
        <v>37</v>
      </c>
      <c r="L29" s="8"/>
      <c r="M29" s="8"/>
      <c r="N29" s="8"/>
      <c r="O29" s="8"/>
      <c r="P29" s="65">
        <f>+(1-P28)*P22</f>
        <v>4.1287253297664002</v>
      </c>
      <c r="Q29" s="8" t="s">
        <v>35</v>
      </c>
      <c r="R29" s="9"/>
      <c r="S29" s="7"/>
      <c r="T29" s="8"/>
      <c r="U29" s="8"/>
      <c r="V29" s="8"/>
      <c r="W29" s="8"/>
      <c r="X29" s="8"/>
      <c r="Y29" s="65"/>
      <c r="Z29" s="8"/>
      <c r="AA29" s="9"/>
    </row>
    <row r="30" spans="1:27">
      <c r="A30" s="7"/>
      <c r="B30" s="8"/>
      <c r="C30" s="8"/>
      <c r="D30" s="8"/>
      <c r="E30" s="38"/>
      <c r="F30" s="38"/>
      <c r="G30" s="38"/>
      <c r="H30" s="38"/>
      <c r="I30" s="39"/>
      <c r="J30" s="7"/>
      <c r="K30" s="8"/>
      <c r="L30" s="8"/>
      <c r="M30" s="8"/>
      <c r="N30" s="8"/>
      <c r="O30" s="8"/>
      <c r="P30" s="65"/>
      <c r="Q30" s="8"/>
      <c r="R30" s="9"/>
      <c r="S30" s="7"/>
      <c r="T30" s="8"/>
      <c r="U30" s="8"/>
      <c r="V30" s="8"/>
      <c r="W30" s="8"/>
      <c r="X30" s="8"/>
      <c r="Y30" s="8"/>
      <c r="Z30" s="8"/>
      <c r="AA30" s="9"/>
    </row>
    <row r="31" spans="1:27">
      <c r="A31" s="7"/>
      <c r="B31" s="8"/>
      <c r="C31" s="8"/>
      <c r="D31" s="8"/>
      <c r="E31" s="51"/>
      <c r="F31" s="11"/>
      <c r="G31" s="11"/>
      <c r="H31" s="11"/>
      <c r="I31" s="31"/>
      <c r="J31" s="7"/>
      <c r="K31" s="8" t="s">
        <v>94</v>
      </c>
      <c r="L31" s="48"/>
      <c r="M31" s="48"/>
      <c r="N31" s="48"/>
      <c r="O31" s="48"/>
      <c r="P31" s="65">
        <f>1.06-(0.4*G16)</f>
        <v>0.72960000000000003</v>
      </c>
      <c r="Q31" s="8"/>
      <c r="R31" s="9"/>
      <c r="S31" s="7"/>
      <c r="T31" s="71" t="s">
        <v>75</v>
      </c>
      <c r="U31" s="8"/>
      <c r="V31" s="8"/>
      <c r="W31" s="8"/>
      <c r="X31" s="8"/>
      <c r="Y31" s="8"/>
      <c r="Z31" s="8"/>
      <c r="AA31" s="9"/>
    </row>
    <row r="32" spans="1:27">
      <c r="A32" s="7"/>
      <c r="B32" s="8"/>
      <c r="C32" s="8"/>
      <c r="D32" s="8"/>
      <c r="E32" s="11"/>
      <c r="F32" s="11"/>
      <c r="G32" s="11"/>
      <c r="H32" s="11"/>
      <c r="I32" s="31"/>
      <c r="J32" s="7"/>
      <c r="K32" s="8"/>
      <c r="L32" s="8"/>
      <c r="M32" s="8"/>
      <c r="N32" s="8"/>
      <c r="O32" s="8"/>
      <c r="P32" s="8"/>
      <c r="Q32" s="8"/>
      <c r="R32" s="9"/>
      <c r="S32" s="7"/>
      <c r="T32" s="8"/>
      <c r="U32" s="8"/>
      <c r="V32" s="8"/>
      <c r="W32" s="8"/>
      <c r="X32" s="8"/>
      <c r="Y32" s="8"/>
      <c r="Z32" s="8"/>
      <c r="AA32" s="9"/>
    </row>
    <row r="33" spans="1:27">
      <c r="A33" s="7"/>
      <c r="B33" s="8"/>
      <c r="C33" s="8"/>
      <c r="D33" s="8"/>
      <c r="E33" s="29"/>
      <c r="F33" s="30"/>
      <c r="G33" s="29"/>
      <c r="H33" s="29"/>
      <c r="I33" s="32"/>
      <c r="J33" s="7"/>
      <c r="K33" s="8" t="s">
        <v>34</v>
      </c>
      <c r="L33" s="8"/>
      <c r="M33" s="8"/>
      <c r="N33" s="8"/>
      <c r="O33" s="8"/>
      <c r="P33" s="8"/>
      <c r="Q33" s="8"/>
      <c r="R33" s="9"/>
      <c r="S33" s="7"/>
      <c r="U33" s="8"/>
      <c r="V33" s="35" t="s">
        <v>76</v>
      </c>
      <c r="W33" s="64">
        <f>+G25*10^3/(2*PI()*C24)</f>
        <v>6411.4888990649633</v>
      </c>
      <c r="X33" s="8" t="s">
        <v>77</v>
      </c>
      <c r="Y33" s="8">
        <f>2*PI()*C24*W33/1000</f>
        <v>493.28048384999994</v>
      </c>
      <c r="Z33" s="122" t="s">
        <v>52</v>
      </c>
      <c r="AA33" s="9"/>
    </row>
    <row r="34" spans="1:27">
      <c r="A34" s="7" t="s">
        <v>57</v>
      </c>
      <c r="B34" s="8"/>
      <c r="C34" s="8"/>
      <c r="D34" s="8"/>
      <c r="E34" s="29"/>
      <c r="F34" s="30"/>
      <c r="G34" s="29"/>
      <c r="H34" s="29"/>
      <c r="I34" s="32"/>
      <c r="J34" s="7"/>
      <c r="K34" s="8"/>
      <c r="L34" s="8"/>
      <c r="M34" s="8"/>
      <c r="N34" s="8"/>
      <c r="O34" s="8"/>
      <c r="P34" s="8"/>
      <c r="Q34" s="8"/>
      <c r="R34" s="9"/>
      <c r="S34" s="7"/>
      <c r="T34" s="8" t="s">
        <v>66</v>
      </c>
      <c r="U34" s="8"/>
      <c r="V34" s="8"/>
      <c r="W34" s="8"/>
      <c r="X34" s="8"/>
      <c r="Y34" s="8"/>
      <c r="Z34" s="8"/>
      <c r="AA34" s="9"/>
    </row>
    <row r="35" spans="1:27">
      <c r="A35" s="7"/>
      <c r="B35" s="8"/>
      <c r="C35" s="8"/>
      <c r="D35" s="29"/>
      <c r="E35" s="29"/>
      <c r="F35" s="30"/>
      <c r="G35" s="29"/>
      <c r="H35" s="29"/>
      <c r="I35" s="32"/>
      <c r="J35" s="7"/>
      <c r="K35" s="8"/>
      <c r="L35" s="64"/>
      <c r="M35" s="8"/>
      <c r="N35" s="8"/>
      <c r="O35" s="8"/>
      <c r="P35" s="8"/>
      <c r="Q35" s="8"/>
      <c r="R35" s="9"/>
      <c r="S35" s="7"/>
      <c r="T35" s="8"/>
      <c r="U35" s="64"/>
      <c r="V35" s="8"/>
      <c r="W35" s="8"/>
      <c r="X35" s="8"/>
      <c r="Y35" s="8"/>
      <c r="Z35" s="8"/>
      <c r="AA35" s="9"/>
    </row>
    <row r="36" spans="1:27">
      <c r="A36" s="177" t="s">
        <v>62</v>
      </c>
      <c r="B36" s="176"/>
      <c r="C36" s="29"/>
      <c r="D36" s="35" t="s">
        <v>56</v>
      </c>
      <c r="E36" s="68">
        <f>P29</f>
        <v>4.1287253297664002</v>
      </c>
      <c r="F36" s="8" t="s">
        <v>35</v>
      </c>
      <c r="G36" s="29"/>
      <c r="H36" s="29"/>
      <c r="I36" s="32"/>
      <c r="J36" s="7"/>
      <c r="K36" s="8"/>
      <c r="L36" s="64"/>
      <c r="M36" s="8"/>
      <c r="N36" s="8"/>
      <c r="O36" s="8"/>
      <c r="P36" s="8"/>
      <c r="Q36" s="8"/>
      <c r="R36" s="9"/>
      <c r="S36" s="7"/>
      <c r="T36" s="71" t="s">
        <v>78</v>
      </c>
      <c r="U36" s="64"/>
      <c r="V36" s="8"/>
      <c r="W36" s="8"/>
      <c r="X36" s="8"/>
      <c r="Y36" s="35"/>
      <c r="Z36" s="8"/>
      <c r="AA36" s="9"/>
    </row>
    <row r="37" spans="1:27">
      <c r="A37" s="34"/>
      <c r="B37" s="35"/>
      <c r="C37" s="29"/>
      <c r="D37" s="29"/>
      <c r="E37" s="47"/>
      <c r="F37" s="30"/>
      <c r="G37" s="29"/>
      <c r="H37" s="29"/>
      <c r="I37" s="32"/>
      <c r="J37" s="7"/>
      <c r="K37" s="11"/>
      <c r="L37" s="11"/>
      <c r="M37" s="8"/>
      <c r="N37" s="11"/>
      <c r="O37" s="11"/>
      <c r="P37" s="8"/>
      <c r="Q37" s="8"/>
      <c r="R37" s="9"/>
      <c r="S37" s="7"/>
      <c r="T37" s="8"/>
      <c r="U37" s="8"/>
      <c r="V37" s="8"/>
      <c r="W37" s="8"/>
      <c r="X37" s="11"/>
      <c r="Y37" s="8"/>
      <c r="Z37" s="8"/>
      <c r="AA37" s="9"/>
    </row>
    <row r="38" spans="1:27">
      <c r="A38" s="178" t="s">
        <v>88</v>
      </c>
      <c r="B38" s="179"/>
      <c r="C38" s="29"/>
      <c r="D38" s="35" t="s">
        <v>74</v>
      </c>
      <c r="E38" s="69">
        <f>+W27</f>
        <v>1.0952948895928687</v>
      </c>
      <c r="F38" s="8" t="s">
        <v>5</v>
      </c>
      <c r="G38" s="29"/>
      <c r="H38" s="29"/>
      <c r="I38" s="32"/>
      <c r="J38" s="7"/>
      <c r="K38" s="76"/>
      <c r="L38" s="77"/>
      <c r="M38" s="8"/>
      <c r="N38" s="77"/>
      <c r="O38" s="76"/>
      <c r="P38" s="8"/>
      <c r="Q38" s="8"/>
      <c r="R38" s="9"/>
      <c r="S38" s="7"/>
      <c r="U38" s="8"/>
      <c r="V38" s="8"/>
      <c r="W38" s="74"/>
      <c r="X38" s="75"/>
      <c r="Y38" s="8"/>
      <c r="Z38" s="8"/>
      <c r="AA38" s="9"/>
    </row>
    <row r="39" spans="1:27">
      <c r="A39" s="34"/>
      <c r="B39" s="35"/>
      <c r="C39" s="29"/>
      <c r="D39" s="29"/>
      <c r="E39" s="47"/>
      <c r="F39" s="30"/>
      <c r="G39" s="29"/>
      <c r="H39" s="29"/>
      <c r="I39" s="32"/>
      <c r="J39" s="7"/>
      <c r="K39" s="76"/>
      <c r="L39" s="78"/>
      <c r="M39" s="8"/>
      <c r="N39" s="77"/>
      <c r="O39" s="79"/>
      <c r="P39" s="8"/>
      <c r="Q39" s="8"/>
      <c r="R39" s="9"/>
      <c r="S39" s="7"/>
      <c r="T39" s="8"/>
      <c r="U39" s="8"/>
      <c r="V39" s="35" t="s">
        <v>79</v>
      </c>
      <c r="W39" s="70">
        <f>+W33/(1025*(C24^2)*(W27^5))</f>
        <v>2.6464846648839573E-2</v>
      </c>
      <c r="X39" s="75"/>
      <c r="Y39" s="8"/>
      <c r="Z39" s="8"/>
      <c r="AA39" s="9"/>
    </row>
    <row r="40" spans="1:27">
      <c r="A40" s="7" t="s">
        <v>92</v>
      </c>
      <c r="B40" s="8"/>
      <c r="C40" s="8"/>
      <c r="D40" s="35" t="s">
        <v>93</v>
      </c>
      <c r="E40" s="74">
        <f>+X45*E38</f>
        <v>0.766706422715008</v>
      </c>
      <c r="F40" s="8" t="s">
        <v>5</v>
      </c>
      <c r="G40" s="29"/>
      <c r="H40" s="29"/>
      <c r="I40" s="32"/>
      <c r="J40" s="7"/>
      <c r="K40" s="76"/>
      <c r="L40" s="77"/>
      <c r="M40" s="8"/>
      <c r="N40" s="77"/>
      <c r="O40" s="76"/>
      <c r="P40" s="8"/>
      <c r="Q40" s="8"/>
      <c r="R40" s="9"/>
      <c r="S40" s="7"/>
      <c r="T40" s="8"/>
      <c r="U40" s="8"/>
      <c r="V40" s="8"/>
      <c r="W40" s="74"/>
      <c r="X40" s="75"/>
      <c r="Y40" s="8"/>
      <c r="Z40" s="8"/>
      <c r="AA40" s="9"/>
    </row>
    <row r="41" spans="1:27">
      <c r="A41" s="7"/>
      <c r="B41" s="8"/>
      <c r="C41" s="8"/>
      <c r="D41" s="8"/>
      <c r="E41" s="8"/>
      <c r="F41" s="8"/>
      <c r="G41" s="12"/>
      <c r="H41" s="12"/>
      <c r="I41" s="33"/>
      <c r="J41" s="7"/>
      <c r="K41" s="8"/>
      <c r="L41" s="8"/>
      <c r="M41" s="8"/>
      <c r="N41" s="8"/>
      <c r="O41" s="8"/>
      <c r="P41" s="8"/>
      <c r="Q41" s="8"/>
      <c r="R41" s="9"/>
      <c r="S41" s="7"/>
      <c r="T41" s="8"/>
      <c r="U41" s="8"/>
      <c r="V41" s="8"/>
      <c r="W41" s="8"/>
      <c r="X41" s="8"/>
      <c r="Y41" s="8"/>
      <c r="Z41" s="8"/>
      <c r="AA41" s="9"/>
    </row>
    <row r="42" spans="1:27">
      <c r="A42" s="45" t="s">
        <v>75</v>
      </c>
      <c r="B42" s="35"/>
      <c r="C42" s="29"/>
      <c r="D42" s="35" t="s">
        <v>76</v>
      </c>
      <c r="E42" s="73">
        <f>+W33</f>
        <v>6411.4888990649633</v>
      </c>
      <c r="F42" s="8" t="s">
        <v>77</v>
      </c>
      <c r="G42" s="12"/>
      <c r="H42" s="12"/>
      <c r="I42" s="39"/>
      <c r="J42" s="7"/>
      <c r="L42" s="8"/>
      <c r="M42" s="8"/>
      <c r="N42" s="8"/>
      <c r="O42" s="8"/>
      <c r="P42" s="8"/>
      <c r="Q42" s="8"/>
      <c r="R42" s="9"/>
      <c r="S42" s="7"/>
      <c r="T42" s="8" t="s">
        <v>81</v>
      </c>
      <c r="U42" s="8"/>
      <c r="V42" s="8"/>
      <c r="W42" s="8"/>
      <c r="X42" s="8"/>
      <c r="Y42" s="8"/>
      <c r="Z42" s="8"/>
      <c r="AA42" s="9"/>
    </row>
    <row r="43" spans="1:27">
      <c r="A43" s="10"/>
      <c r="B43" s="11"/>
      <c r="C43" s="12"/>
      <c r="D43" s="12"/>
      <c r="E43" s="47"/>
      <c r="F43" s="12"/>
      <c r="G43" s="13"/>
      <c r="H43" s="13"/>
      <c r="I43" s="39"/>
      <c r="J43" s="7"/>
      <c r="K43" s="8"/>
      <c r="L43" s="8"/>
      <c r="M43" s="8"/>
      <c r="N43" s="8"/>
      <c r="O43" s="8"/>
      <c r="P43" s="8"/>
      <c r="Q43" s="8"/>
      <c r="R43" s="9"/>
      <c r="S43" s="7"/>
      <c r="T43" s="176" t="s">
        <v>82</v>
      </c>
      <c r="U43" s="176"/>
      <c r="V43" s="176"/>
      <c r="W43" s="176"/>
      <c r="X43" s="8" t="s">
        <v>84</v>
      </c>
      <c r="Y43" s="8"/>
      <c r="Z43" s="8"/>
      <c r="AA43" s="9"/>
    </row>
    <row r="44" spans="1:27">
      <c r="A44" s="45" t="s">
        <v>89</v>
      </c>
      <c r="B44" s="11"/>
      <c r="C44" s="12"/>
      <c r="D44" s="35" t="s">
        <v>86</v>
      </c>
      <c r="E44" s="73">
        <f>+W50</f>
        <v>44614.150508278624</v>
      </c>
      <c r="F44" s="38" t="s">
        <v>87</v>
      </c>
      <c r="G44" s="43"/>
      <c r="H44" s="43"/>
      <c r="I44" s="39"/>
      <c r="J44" s="7"/>
      <c r="K44" s="8"/>
      <c r="L44" s="8"/>
      <c r="M44" s="8"/>
      <c r="N44" s="8"/>
      <c r="O44" s="8"/>
      <c r="P44" s="8"/>
      <c r="Q44" s="8"/>
      <c r="R44" s="9"/>
      <c r="S44" s="7"/>
      <c r="T44" s="35"/>
      <c r="U44" s="8"/>
      <c r="V44" s="8"/>
      <c r="W44" s="8"/>
      <c r="X44" s="8"/>
      <c r="Y44" s="8"/>
      <c r="Z44" s="8"/>
      <c r="AA44" s="9"/>
    </row>
    <row r="45" spans="1:27">
      <c r="A45" s="42"/>
      <c r="B45" s="38"/>
      <c r="C45" s="44"/>
      <c r="D45" s="44"/>
      <c r="E45" s="44"/>
      <c r="F45" s="43"/>
      <c r="G45" s="43"/>
      <c r="H45" s="43"/>
      <c r="I45" s="39"/>
      <c r="J45" s="7"/>
      <c r="K45" s="8"/>
      <c r="L45" s="8"/>
      <c r="M45" s="8"/>
      <c r="N45" s="8"/>
      <c r="O45" s="8"/>
      <c r="P45" s="8"/>
      <c r="Q45" s="8"/>
      <c r="R45" s="9"/>
      <c r="S45" s="7"/>
      <c r="T45" s="35" t="s">
        <v>83</v>
      </c>
      <c r="U45" s="70">
        <f>+KQ!D67</f>
        <v>0.20170384475926584</v>
      </c>
      <c r="V45" s="8"/>
      <c r="W45" s="55" t="s">
        <v>138</v>
      </c>
      <c r="X45" s="8">
        <f>+KQ!D65</f>
        <v>0.7</v>
      </c>
      <c r="Y45" s="8"/>
      <c r="Z45" s="8"/>
      <c r="AA45" s="9"/>
    </row>
    <row r="46" spans="1:27">
      <c r="A46" s="131" t="s">
        <v>142</v>
      </c>
      <c r="B46" s="38"/>
      <c r="C46" s="44"/>
      <c r="D46" s="148" t="s">
        <v>145</v>
      </c>
      <c r="E46" s="149"/>
      <c r="F46" s="43" t="s">
        <v>87</v>
      </c>
      <c r="G46" s="43"/>
      <c r="H46" s="43"/>
      <c r="I46" s="39"/>
      <c r="J46" s="7"/>
      <c r="K46" s="8"/>
      <c r="L46" s="8"/>
      <c r="M46" s="8"/>
      <c r="N46" s="8"/>
      <c r="O46" s="8"/>
      <c r="P46" s="8"/>
      <c r="Q46" s="8"/>
      <c r="R46" s="9"/>
      <c r="S46" s="7"/>
      <c r="T46" s="8"/>
      <c r="U46" s="8"/>
      <c r="V46" s="8"/>
      <c r="W46" s="8"/>
      <c r="X46" s="8"/>
      <c r="Y46" s="8"/>
      <c r="Z46" s="8"/>
      <c r="AA46" s="9"/>
    </row>
    <row r="47" spans="1:27">
      <c r="A47" s="42"/>
      <c r="B47" s="38"/>
      <c r="C47" s="43"/>
      <c r="D47" s="43"/>
      <c r="E47" s="43"/>
      <c r="F47" s="43"/>
      <c r="G47" s="43"/>
      <c r="H47" s="43"/>
      <c r="I47" s="39"/>
      <c r="J47" s="7"/>
      <c r="K47" s="8"/>
      <c r="L47" s="8"/>
      <c r="M47" s="8"/>
      <c r="N47" s="8"/>
      <c r="O47" s="8"/>
      <c r="P47" s="8"/>
      <c r="Q47" s="8"/>
      <c r="R47" s="9"/>
      <c r="S47" s="7"/>
      <c r="T47" s="71" t="s">
        <v>85</v>
      </c>
      <c r="U47" s="8"/>
      <c r="V47" s="8"/>
      <c r="W47" s="8"/>
      <c r="X47" s="8"/>
      <c r="Y47" s="8"/>
      <c r="Z47" s="8"/>
      <c r="AA47" s="9"/>
    </row>
    <row r="48" spans="1:27">
      <c r="A48" s="131" t="s">
        <v>143</v>
      </c>
      <c r="B48" s="38"/>
      <c r="C48" s="38"/>
      <c r="D48" s="55" t="s">
        <v>144</v>
      </c>
      <c r="E48" s="38">
        <v>0.22</v>
      </c>
      <c r="F48" s="38"/>
      <c r="G48" s="38"/>
      <c r="H48" s="38"/>
      <c r="I48" s="39"/>
      <c r="J48" s="7"/>
      <c r="K48" s="8"/>
      <c r="L48" s="8"/>
      <c r="M48" s="8"/>
      <c r="N48" s="8"/>
      <c r="O48" s="8"/>
      <c r="P48" s="8"/>
      <c r="Q48" s="8"/>
      <c r="R48" s="9"/>
      <c r="S48" s="7"/>
      <c r="T48" s="8"/>
      <c r="U48" s="8"/>
      <c r="V48" s="8"/>
      <c r="W48" s="8"/>
      <c r="X48" s="8"/>
      <c r="Y48" s="8"/>
      <c r="Z48" s="8"/>
      <c r="AA48" s="9"/>
    </row>
    <row r="49" spans="1:27">
      <c r="A49" s="42"/>
      <c r="B49" s="38"/>
      <c r="C49" s="38"/>
      <c r="D49" s="38"/>
      <c r="E49" s="38"/>
      <c r="F49" s="38"/>
      <c r="G49" s="38"/>
      <c r="H49" s="38"/>
      <c r="I49" s="39"/>
      <c r="J49" s="7"/>
      <c r="K49" s="8"/>
      <c r="L49" s="8"/>
      <c r="M49" s="8"/>
      <c r="N49" s="8"/>
      <c r="O49" s="8"/>
      <c r="P49" s="8"/>
      <c r="Q49" s="8"/>
      <c r="R49" s="9"/>
      <c r="S49" s="7"/>
      <c r="U49" s="8"/>
      <c r="V49" s="8"/>
      <c r="W49" s="8"/>
      <c r="X49" s="8"/>
      <c r="Y49" s="8"/>
      <c r="Z49" s="8"/>
      <c r="AA49" s="9"/>
    </row>
    <row r="50" spans="1:27">
      <c r="A50" s="131" t="s">
        <v>146</v>
      </c>
      <c r="B50" s="38"/>
      <c r="C50" s="44"/>
      <c r="D50" s="148" t="s">
        <v>93</v>
      </c>
      <c r="E50" s="149">
        <f>+E44*(1-E48)*P22/1000</f>
        <v>196.92388589671265</v>
      </c>
      <c r="F50" s="43" t="s">
        <v>52</v>
      </c>
      <c r="G50" s="38"/>
      <c r="H50" s="38"/>
      <c r="I50" s="39"/>
      <c r="J50" s="36"/>
      <c r="K50" s="38"/>
      <c r="L50" s="38"/>
      <c r="M50" s="38"/>
      <c r="N50" s="38"/>
      <c r="O50" s="38"/>
      <c r="P50" s="38"/>
      <c r="Q50" s="38"/>
      <c r="R50" s="39"/>
      <c r="S50" s="36"/>
      <c r="T50" s="38"/>
      <c r="U50" s="38"/>
      <c r="V50" s="35" t="s">
        <v>86</v>
      </c>
      <c r="W50" s="56">
        <f>+U45*(1025*(C24^2)*(W27^4))</f>
        <v>44614.150508278624</v>
      </c>
      <c r="X50" s="38" t="s">
        <v>87</v>
      </c>
      <c r="Y50" s="38"/>
      <c r="Z50" s="38"/>
      <c r="AA50" s="39"/>
    </row>
    <row r="51" spans="1:27">
      <c r="A51" s="36"/>
      <c r="B51" s="38"/>
      <c r="C51" s="38"/>
      <c r="D51" s="38"/>
      <c r="E51" s="38"/>
      <c r="F51" s="38"/>
      <c r="G51" s="38"/>
      <c r="H51" s="38"/>
      <c r="I51" s="39"/>
      <c r="J51" s="36"/>
      <c r="K51" s="38"/>
      <c r="L51" s="38"/>
      <c r="M51" s="38"/>
      <c r="N51" s="38"/>
      <c r="O51" s="38"/>
      <c r="P51" s="38"/>
      <c r="Q51" s="38"/>
      <c r="R51" s="39"/>
      <c r="S51" s="36"/>
      <c r="T51" s="38"/>
      <c r="U51" s="38"/>
      <c r="V51" s="38"/>
      <c r="W51" s="38"/>
      <c r="X51" s="38"/>
      <c r="Y51" s="38"/>
      <c r="Z51" s="38"/>
      <c r="AA51" s="39"/>
    </row>
    <row r="52" spans="1:27">
      <c r="A52" s="59"/>
      <c r="B52" s="60"/>
      <c r="C52" s="60"/>
      <c r="D52" s="60"/>
      <c r="E52" s="60"/>
      <c r="F52" s="60"/>
      <c r="G52" s="60"/>
      <c r="H52" s="60"/>
      <c r="I52" s="61"/>
      <c r="J52" s="59"/>
      <c r="K52" s="60"/>
      <c r="L52" s="60"/>
      <c r="M52" s="60"/>
      <c r="N52" s="60"/>
      <c r="O52" s="60"/>
      <c r="P52" s="60"/>
      <c r="Q52" s="60"/>
      <c r="R52" s="61"/>
      <c r="S52" s="59"/>
      <c r="T52" s="60"/>
      <c r="U52" s="60"/>
      <c r="V52" s="60"/>
      <c r="W52" s="60"/>
      <c r="X52" s="60"/>
      <c r="Y52" s="60"/>
      <c r="Z52" s="60"/>
      <c r="AA52" s="61"/>
    </row>
    <row r="53" spans="1:27">
      <c r="A53" s="152" t="s">
        <v>7</v>
      </c>
      <c r="B53" s="174"/>
      <c r="C53" s="175"/>
      <c r="D53" s="152" t="s">
        <v>8</v>
      </c>
      <c r="E53" s="174"/>
      <c r="F53" s="175"/>
      <c r="G53" s="152" t="s">
        <v>9</v>
      </c>
      <c r="H53" s="153"/>
      <c r="I53" s="154"/>
      <c r="J53" s="152" t="s">
        <v>7</v>
      </c>
      <c r="K53" s="174"/>
      <c r="L53" s="175"/>
      <c r="M53" s="152" t="s">
        <v>8</v>
      </c>
      <c r="N53" s="174"/>
      <c r="O53" s="175"/>
      <c r="P53" s="152" t="s">
        <v>9</v>
      </c>
      <c r="Q53" s="153"/>
      <c r="R53" s="154"/>
      <c r="S53" s="152" t="s">
        <v>7</v>
      </c>
      <c r="T53" s="174"/>
      <c r="U53" s="175"/>
      <c r="V53" s="152" t="s">
        <v>8</v>
      </c>
      <c r="W53" s="174"/>
      <c r="X53" s="175"/>
      <c r="Y53" s="152" t="s">
        <v>9</v>
      </c>
      <c r="Z53" s="153"/>
      <c r="AA53" s="154"/>
    </row>
    <row r="54" spans="1:27">
      <c r="A54" s="171" t="s">
        <v>0</v>
      </c>
      <c r="B54" s="172"/>
      <c r="C54" s="173"/>
      <c r="D54" s="171"/>
      <c r="E54" s="172"/>
      <c r="F54" s="173"/>
      <c r="G54" s="15"/>
      <c r="H54" s="16"/>
      <c r="I54" s="17">
        <v>0</v>
      </c>
      <c r="J54" s="171" t="s">
        <v>0</v>
      </c>
      <c r="K54" s="172"/>
      <c r="L54" s="173"/>
      <c r="M54" s="171"/>
      <c r="N54" s="172"/>
      <c r="O54" s="173"/>
      <c r="P54" s="15"/>
      <c r="Q54" s="16"/>
      <c r="R54" s="17">
        <v>0</v>
      </c>
      <c r="S54" s="171" t="s">
        <v>0</v>
      </c>
      <c r="T54" s="172"/>
      <c r="U54" s="173"/>
      <c r="V54" s="171"/>
      <c r="W54" s="172"/>
      <c r="X54" s="173"/>
      <c r="Y54" s="15"/>
      <c r="Z54" s="16"/>
      <c r="AA54" s="17">
        <v>0</v>
      </c>
    </row>
    <row r="55" spans="1:27">
      <c r="A55" s="18" t="s">
        <v>10</v>
      </c>
      <c r="B55" s="19"/>
      <c r="C55" s="20"/>
      <c r="D55" s="152" t="s">
        <v>150</v>
      </c>
      <c r="E55" s="153"/>
      <c r="F55" s="154"/>
      <c r="G55" s="21" t="s">
        <v>11</v>
      </c>
      <c r="H55" s="22"/>
      <c r="I55" s="14"/>
      <c r="J55" s="18" t="s">
        <v>10</v>
      </c>
      <c r="K55" s="19"/>
      <c r="L55" s="20"/>
      <c r="M55" s="152" t="s">
        <v>150</v>
      </c>
      <c r="N55" s="153"/>
      <c r="O55" s="154"/>
      <c r="P55" s="21" t="s">
        <v>11</v>
      </c>
      <c r="Q55" s="22"/>
      <c r="R55" s="14"/>
      <c r="S55" s="18" t="s">
        <v>10</v>
      </c>
      <c r="T55" s="19"/>
      <c r="U55" s="20"/>
      <c r="V55" s="152" t="s">
        <v>150</v>
      </c>
      <c r="W55" s="153"/>
      <c r="X55" s="154"/>
      <c r="Y55" s="21" t="s">
        <v>11</v>
      </c>
      <c r="Z55" s="22"/>
      <c r="AA55" s="14"/>
    </row>
    <row r="56" spans="1:27">
      <c r="A56" s="23">
        <v>40233</v>
      </c>
      <c r="B56" s="24"/>
      <c r="C56" s="25"/>
      <c r="D56" s="155"/>
      <c r="E56" s="156"/>
      <c r="F56" s="157"/>
      <c r="G56" s="26"/>
      <c r="H56" s="24"/>
      <c r="I56" s="27" t="s">
        <v>61</v>
      </c>
      <c r="J56" s="138">
        <v>40233</v>
      </c>
      <c r="K56" s="24"/>
      <c r="L56" s="25"/>
      <c r="M56" s="155"/>
      <c r="N56" s="156"/>
      <c r="O56" s="157"/>
      <c r="P56" s="26"/>
      <c r="Q56" s="24"/>
      <c r="R56" s="27" t="s">
        <v>60</v>
      </c>
      <c r="S56" s="138">
        <v>40233</v>
      </c>
      <c r="T56" s="24"/>
      <c r="U56" s="25"/>
      <c r="V56" s="155"/>
      <c r="W56" s="156"/>
      <c r="X56" s="157"/>
      <c r="Y56" s="26"/>
      <c r="Z56" s="24"/>
      <c r="AA56" s="27" t="s">
        <v>59</v>
      </c>
    </row>
  </sheetData>
  <mergeCells count="44">
    <mergeCell ref="D56:F56"/>
    <mergeCell ref="D55:F55"/>
    <mergeCell ref="A54:C54"/>
    <mergeCell ref="D54:F54"/>
    <mergeCell ref="G53:I53"/>
    <mergeCell ref="A36:B36"/>
    <mergeCell ref="A38:B38"/>
    <mergeCell ref="A53:C53"/>
    <mergeCell ref="D53:F53"/>
    <mergeCell ref="A1:I1"/>
    <mergeCell ref="A2:I2"/>
    <mergeCell ref="G3:I3"/>
    <mergeCell ref="G4:I4"/>
    <mergeCell ref="A3:C3"/>
    <mergeCell ref="A4:C4"/>
    <mergeCell ref="M55:O55"/>
    <mergeCell ref="M56:O56"/>
    <mergeCell ref="J1:R1"/>
    <mergeCell ref="J2:R2"/>
    <mergeCell ref="J3:L3"/>
    <mergeCell ref="P3:R3"/>
    <mergeCell ref="J4:L4"/>
    <mergeCell ref="M4:O4"/>
    <mergeCell ref="P4:R4"/>
    <mergeCell ref="J53:L53"/>
    <mergeCell ref="M53:O53"/>
    <mergeCell ref="P53:R53"/>
    <mergeCell ref="J54:L54"/>
    <mergeCell ref="M54:O54"/>
    <mergeCell ref="V55:X55"/>
    <mergeCell ref="V56:X56"/>
    <mergeCell ref="S4:U4"/>
    <mergeCell ref="V4:X4"/>
    <mergeCell ref="S1:AA1"/>
    <mergeCell ref="S2:AA2"/>
    <mergeCell ref="S3:U3"/>
    <mergeCell ref="Y3:AA3"/>
    <mergeCell ref="S54:U54"/>
    <mergeCell ref="V54:X54"/>
    <mergeCell ref="Y4:AA4"/>
    <mergeCell ref="S53:U53"/>
    <mergeCell ref="V53:X53"/>
    <mergeCell ref="Y53:AA53"/>
    <mergeCell ref="T43:W43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  <legacyDrawing r:id="rId2"/>
  <oleObjects>
    <oleObject progId="Equation.DSMT4" shapeId="1025" r:id="rId3"/>
    <oleObject progId="Equation.DSMT4" shapeId="1027" r:id="rId4"/>
    <oleObject progId="Equation.DSMT4" shapeId="1028" r:id="rId5"/>
    <oleObject progId="Equation.DSMT4" shapeId="1029" r:id="rId6"/>
    <oleObject progId="Equation.DSMT4" shapeId="1031" r:id="rId7"/>
    <oleObject progId="Equation.DSMT4" shapeId="1032" r:id="rId8"/>
    <oleObject progId="Equation.DSMT4" shapeId="1033" r:id="rId9"/>
    <oleObject progId="Equation.DSMT4" shapeId="1041" r:id="rId10"/>
    <oleObject progId="Equation.DSMT4" shapeId="1042" r:id="rId11"/>
    <oleObject progId="Equation.DSMT4" shapeId="1043" r:id="rId12"/>
    <oleObject progId="Equation.DSMT4" shapeId="1044" r:id="rId13"/>
    <oleObject progId="Equation.DSMT4" shapeId="1045" r:id="rId14"/>
    <oleObject progId="Equation.DSMT4" shapeId="1046" r:id="rId15"/>
    <oleObject progId="Equation.DSMT4" shapeId="1047" r:id="rId1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topLeftCell="A34" workbookViewId="0">
      <selection activeCell="C12" sqref="C12"/>
    </sheetView>
  </sheetViews>
  <sheetFormatPr defaultRowHeight="12.75"/>
  <cols>
    <col min="1" max="1" width="10.28515625" customWidth="1"/>
    <col min="7" max="7" width="12.42578125" bestFit="1" customWidth="1"/>
    <col min="8" max="8" width="9.85546875" customWidth="1"/>
    <col min="10" max="10" width="10.85546875" customWidth="1"/>
    <col min="19" max="19" width="9.85546875" customWidth="1"/>
    <col min="27" max="27" width="9.7109375" customWidth="1"/>
  </cols>
  <sheetData>
    <row r="1" spans="1:27">
      <c r="A1" s="162" t="s">
        <v>13</v>
      </c>
      <c r="B1" s="163"/>
      <c r="C1" s="163"/>
      <c r="D1" s="163"/>
      <c r="E1" s="163"/>
      <c r="F1" s="163"/>
      <c r="G1" s="163"/>
      <c r="H1" s="163"/>
      <c r="I1" s="164"/>
      <c r="J1" s="162" t="s">
        <v>13</v>
      </c>
      <c r="K1" s="163"/>
      <c r="L1" s="163"/>
      <c r="M1" s="163"/>
      <c r="N1" s="163"/>
      <c r="O1" s="163"/>
      <c r="P1" s="163"/>
      <c r="Q1" s="163"/>
      <c r="R1" s="164"/>
      <c r="S1" s="184"/>
      <c r="T1" s="184"/>
      <c r="U1" s="184"/>
      <c r="V1" s="184"/>
      <c r="W1" s="184"/>
      <c r="X1" s="184"/>
      <c r="Y1" s="184"/>
      <c r="Z1" s="184"/>
      <c r="AA1" s="184"/>
    </row>
    <row r="2" spans="1:27" ht="15">
      <c r="A2" s="165" t="s">
        <v>14</v>
      </c>
      <c r="B2" s="166"/>
      <c r="C2" s="166"/>
      <c r="D2" s="166"/>
      <c r="E2" s="166"/>
      <c r="F2" s="166"/>
      <c r="G2" s="166"/>
      <c r="H2" s="166"/>
      <c r="I2" s="167"/>
      <c r="J2" s="165" t="s">
        <v>14</v>
      </c>
      <c r="K2" s="166"/>
      <c r="L2" s="166"/>
      <c r="M2" s="166"/>
      <c r="N2" s="166"/>
      <c r="O2" s="166"/>
      <c r="P2" s="166"/>
      <c r="Q2" s="166"/>
      <c r="R2" s="167"/>
      <c r="S2" s="184"/>
      <c r="T2" s="184"/>
      <c r="U2" s="184"/>
      <c r="V2" s="184"/>
      <c r="W2" s="184"/>
      <c r="X2" s="184"/>
      <c r="Y2" s="184"/>
      <c r="Z2" s="184"/>
      <c r="AA2" s="184"/>
    </row>
    <row r="3" spans="1:27">
      <c r="A3" s="185" t="s">
        <v>4</v>
      </c>
      <c r="B3" s="169"/>
      <c r="C3" s="170"/>
      <c r="D3" s="3" t="s">
        <v>2</v>
      </c>
      <c r="E3" s="1"/>
      <c r="F3" s="2"/>
      <c r="G3" s="185" t="s">
        <v>1</v>
      </c>
      <c r="H3" s="169"/>
      <c r="I3" s="170"/>
      <c r="J3" s="185" t="s">
        <v>4</v>
      </c>
      <c r="K3" s="169"/>
      <c r="L3" s="170"/>
      <c r="M3" s="3" t="s">
        <v>2</v>
      </c>
      <c r="N3" s="1"/>
      <c r="O3" s="2"/>
      <c r="P3" s="185" t="s">
        <v>1</v>
      </c>
      <c r="Q3" s="169"/>
      <c r="R3" s="170"/>
      <c r="S3" s="183"/>
      <c r="T3" s="183"/>
      <c r="U3" s="183"/>
      <c r="V3" s="82"/>
      <c r="W3" s="81"/>
      <c r="X3" s="81"/>
      <c r="Y3" s="183"/>
      <c r="Z3" s="183"/>
      <c r="AA3" s="183"/>
    </row>
    <row r="4" spans="1:27" ht="15">
      <c r="A4" s="161" t="s">
        <v>12</v>
      </c>
      <c r="B4" s="159"/>
      <c r="C4" s="160"/>
      <c r="D4" s="161" t="s">
        <v>6</v>
      </c>
      <c r="E4" s="159"/>
      <c r="F4" s="160"/>
      <c r="G4" s="161" t="s">
        <v>15</v>
      </c>
      <c r="H4" s="159"/>
      <c r="I4" s="160"/>
      <c r="J4" s="161" t="s">
        <v>12</v>
      </c>
      <c r="K4" s="159"/>
      <c r="L4" s="160"/>
      <c r="M4" s="161" t="s">
        <v>6</v>
      </c>
      <c r="N4" s="159"/>
      <c r="O4" s="160"/>
      <c r="P4" s="161" t="s">
        <v>15</v>
      </c>
      <c r="Q4" s="159"/>
      <c r="R4" s="160"/>
      <c r="S4" s="183"/>
      <c r="T4" s="183"/>
      <c r="U4" s="183"/>
      <c r="V4" s="183"/>
      <c r="W4" s="183"/>
      <c r="X4" s="183"/>
      <c r="Y4" s="183"/>
      <c r="Z4" s="183"/>
      <c r="AA4" s="183"/>
    </row>
    <row r="5" spans="1:27">
      <c r="A5" s="4"/>
      <c r="B5" s="5"/>
      <c r="C5" s="5"/>
      <c r="D5" s="5"/>
      <c r="E5" s="5"/>
      <c r="F5" s="5"/>
      <c r="G5" s="5"/>
      <c r="H5" s="5"/>
      <c r="I5" s="6"/>
      <c r="J5" s="4"/>
      <c r="K5" s="5"/>
      <c r="L5" s="5"/>
      <c r="M5" s="5"/>
      <c r="N5" s="5"/>
      <c r="O5" s="5"/>
      <c r="P5" s="5"/>
      <c r="Q5" s="5"/>
      <c r="R5" s="6"/>
      <c r="S5" s="83"/>
      <c r="T5" s="83"/>
      <c r="U5" s="83"/>
      <c r="V5" s="83"/>
      <c r="W5" s="83"/>
      <c r="X5" s="83"/>
      <c r="Y5" s="83"/>
      <c r="Z5" s="83"/>
      <c r="AA5" s="83"/>
    </row>
    <row r="6" spans="1:27">
      <c r="A6" s="7"/>
      <c r="B6" s="8"/>
      <c r="C6" s="8"/>
      <c r="D6" s="8"/>
      <c r="E6" s="8"/>
      <c r="F6" s="8"/>
      <c r="G6" s="8"/>
      <c r="H6" s="8"/>
      <c r="I6" s="9"/>
      <c r="J6" s="7"/>
      <c r="K6" s="8"/>
      <c r="L6" s="8"/>
      <c r="M6" s="8"/>
      <c r="N6" s="8"/>
      <c r="O6" s="8"/>
      <c r="P6" s="8"/>
      <c r="Q6" s="8"/>
      <c r="R6" s="9"/>
      <c r="S6" s="83"/>
      <c r="T6" s="83"/>
      <c r="U6" s="83"/>
      <c r="V6" s="83"/>
      <c r="W6" s="83"/>
      <c r="X6" s="83"/>
      <c r="Y6" s="83"/>
      <c r="Z6" s="83"/>
      <c r="AA6" s="83"/>
    </row>
    <row r="7" spans="1:27">
      <c r="A7" s="177" t="s">
        <v>16</v>
      </c>
      <c r="B7" s="176"/>
      <c r="C7" s="176"/>
      <c r="D7" s="176"/>
      <c r="E7" s="176"/>
      <c r="F7" s="176"/>
      <c r="G7" s="176"/>
      <c r="H7" s="176"/>
      <c r="I7" s="188"/>
      <c r="J7" s="7"/>
      <c r="K7" s="8"/>
      <c r="L7" s="8"/>
      <c r="M7" s="8"/>
      <c r="N7" s="8"/>
      <c r="O7" s="8"/>
      <c r="P7" s="8"/>
      <c r="Q7" s="8"/>
      <c r="R7" s="9"/>
      <c r="S7" s="83"/>
      <c r="T7" s="83"/>
      <c r="U7" s="83"/>
      <c r="V7" s="83"/>
      <c r="W7" s="83"/>
      <c r="X7" s="83"/>
      <c r="Y7" s="83"/>
      <c r="Z7" s="83"/>
      <c r="AA7" s="83"/>
    </row>
    <row r="8" spans="1:27">
      <c r="A8" s="177" t="s">
        <v>17</v>
      </c>
      <c r="B8" s="176"/>
      <c r="C8" s="176"/>
      <c r="D8" s="176"/>
      <c r="E8" s="176"/>
      <c r="F8" s="176"/>
      <c r="G8" s="176"/>
      <c r="H8" s="176"/>
      <c r="I8" s="188"/>
      <c r="J8" s="7"/>
      <c r="K8" s="8"/>
      <c r="L8" s="8"/>
      <c r="M8" s="8"/>
      <c r="N8" s="8"/>
      <c r="O8" s="8"/>
      <c r="P8" s="8"/>
      <c r="Q8" s="8"/>
      <c r="R8" s="9"/>
      <c r="S8" s="83"/>
      <c r="T8" s="83"/>
      <c r="U8" s="83"/>
      <c r="V8" s="83"/>
      <c r="W8" s="83"/>
      <c r="X8" s="83"/>
      <c r="Y8" s="83"/>
      <c r="Z8" s="83"/>
      <c r="AA8" s="83"/>
    </row>
    <row r="9" spans="1:27">
      <c r="A9" s="7"/>
      <c r="B9" s="8"/>
      <c r="C9" s="8"/>
      <c r="D9" s="8"/>
      <c r="E9" s="8"/>
      <c r="F9" s="8"/>
      <c r="G9" s="8"/>
      <c r="H9" s="8"/>
      <c r="I9" s="9"/>
      <c r="J9" s="7"/>
      <c r="K9" s="8"/>
      <c r="L9" s="8"/>
      <c r="M9" s="8"/>
      <c r="N9" s="8"/>
      <c r="O9" s="8"/>
      <c r="P9" s="8"/>
      <c r="Q9" s="8"/>
      <c r="R9" s="9"/>
      <c r="S9" s="83"/>
      <c r="T9" s="83"/>
      <c r="U9" s="83"/>
      <c r="V9" s="83"/>
      <c r="W9" s="83"/>
      <c r="X9" s="83"/>
      <c r="Y9" s="83"/>
      <c r="Z9" s="83"/>
      <c r="AA9" s="83"/>
    </row>
    <row r="10" spans="1:27">
      <c r="A10" s="52" t="s">
        <v>23</v>
      </c>
      <c r="B10" s="8"/>
      <c r="C10" s="28"/>
      <c r="D10" s="8"/>
      <c r="E10" s="187" t="s">
        <v>26</v>
      </c>
      <c r="F10" s="187"/>
      <c r="G10" s="187"/>
      <c r="H10" s="29"/>
      <c r="I10" s="9"/>
      <c r="J10" s="7"/>
      <c r="K10" s="8"/>
      <c r="L10" s="8"/>
      <c r="M10" s="8"/>
      <c r="N10" s="8"/>
      <c r="O10" s="8"/>
      <c r="P10" s="8"/>
      <c r="Q10" s="8"/>
      <c r="R10" s="9"/>
      <c r="S10" s="83"/>
      <c r="T10" s="83"/>
      <c r="U10" s="84"/>
      <c r="V10" s="83"/>
      <c r="W10" s="83"/>
      <c r="X10" s="83"/>
      <c r="Y10" s="83"/>
      <c r="Z10" s="83"/>
      <c r="AA10" s="83"/>
    </row>
    <row r="11" spans="1:27">
      <c r="A11" s="7"/>
      <c r="B11" s="8"/>
      <c r="C11" s="28"/>
      <c r="D11" s="8"/>
      <c r="E11" s="38"/>
      <c r="F11" s="35" t="s">
        <v>42</v>
      </c>
      <c r="G11" s="29">
        <v>0.5</v>
      </c>
      <c r="H11" s="38" t="s">
        <v>32</v>
      </c>
      <c r="I11" s="9"/>
      <c r="J11" s="7"/>
      <c r="K11" s="8"/>
      <c r="L11" s="8"/>
      <c r="M11" s="8"/>
      <c r="N11" s="8"/>
      <c r="O11" s="8"/>
      <c r="P11" s="8"/>
      <c r="Q11" s="8"/>
      <c r="R11" s="9"/>
      <c r="S11" s="83"/>
      <c r="T11" s="83"/>
      <c r="U11" s="83"/>
      <c r="V11" s="83"/>
      <c r="W11" s="83"/>
      <c r="X11" s="83"/>
      <c r="Y11" s="83"/>
      <c r="Z11" s="83"/>
      <c r="AA11" s="83"/>
    </row>
    <row r="12" spans="1:27">
      <c r="A12" s="7"/>
      <c r="B12" s="35" t="s">
        <v>40</v>
      </c>
      <c r="C12" s="11">
        <v>503</v>
      </c>
      <c r="D12" s="51" t="s">
        <v>28</v>
      </c>
      <c r="E12" s="38"/>
      <c r="F12" s="35" t="s">
        <v>43</v>
      </c>
      <c r="G12" s="11">
        <v>10.62</v>
      </c>
      <c r="H12" s="38" t="s">
        <v>5</v>
      </c>
      <c r="I12" s="9"/>
      <c r="J12" s="7"/>
      <c r="K12" s="8"/>
      <c r="L12" s="8"/>
      <c r="M12" s="8"/>
      <c r="N12" s="8"/>
      <c r="O12" s="8"/>
      <c r="P12" s="8"/>
      <c r="Q12" s="8"/>
      <c r="R12" s="9"/>
      <c r="S12" s="83"/>
      <c r="T12" s="81"/>
      <c r="U12" s="81"/>
      <c r="V12" s="83"/>
      <c r="W12" s="83"/>
      <c r="X12" s="83"/>
      <c r="Y12" s="83"/>
      <c r="Z12" s="83"/>
      <c r="AA12" s="83"/>
    </row>
    <row r="13" spans="1:27">
      <c r="A13" s="36"/>
      <c r="B13" s="55" t="s">
        <v>41</v>
      </c>
      <c r="C13" s="29">
        <v>2500</v>
      </c>
      <c r="D13" s="38" t="s">
        <v>29</v>
      </c>
      <c r="E13" s="38"/>
      <c r="F13" s="35" t="s">
        <v>44</v>
      </c>
      <c r="G13" s="11">
        <v>3.34</v>
      </c>
      <c r="H13" s="38" t="s">
        <v>5</v>
      </c>
      <c r="I13" s="39"/>
      <c r="J13" s="7"/>
      <c r="K13" s="8" t="s">
        <v>18</v>
      </c>
      <c r="L13" s="8"/>
      <c r="M13" s="8"/>
      <c r="N13" s="8"/>
      <c r="O13" s="8"/>
      <c r="P13" s="8"/>
      <c r="Q13" s="8"/>
      <c r="R13" s="9"/>
      <c r="S13" s="83"/>
      <c r="T13" s="81"/>
      <c r="U13" s="81"/>
      <c r="V13" s="83"/>
      <c r="W13" s="83"/>
      <c r="X13" s="83"/>
      <c r="Y13" s="83"/>
      <c r="Z13" s="83"/>
      <c r="AA13" s="83"/>
    </row>
    <row r="14" spans="1:27">
      <c r="A14" s="36"/>
      <c r="B14" s="37"/>
      <c r="C14" s="38"/>
      <c r="D14" s="38"/>
      <c r="E14" s="38"/>
      <c r="F14" s="35" t="s">
        <v>45</v>
      </c>
      <c r="G14" s="11">
        <v>1.1000000000000001</v>
      </c>
      <c r="H14" s="38" t="s">
        <v>5</v>
      </c>
      <c r="I14" s="39"/>
      <c r="J14" s="7"/>
      <c r="K14" s="8" t="s">
        <v>19</v>
      </c>
      <c r="L14" s="8"/>
      <c r="M14" s="8"/>
      <c r="N14" s="8"/>
      <c r="O14" s="8"/>
      <c r="P14" s="8"/>
      <c r="Q14" s="8"/>
      <c r="R14" s="9"/>
      <c r="S14" s="83"/>
      <c r="T14" s="81"/>
      <c r="U14" s="85"/>
      <c r="V14" s="83"/>
      <c r="W14" s="83"/>
      <c r="X14" s="83"/>
      <c r="Y14" s="83"/>
      <c r="Z14" s="83"/>
      <c r="AA14" s="83"/>
    </row>
    <row r="15" spans="1:27">
      <c r="A15" s="7"/>
      <c r="B15" s="8"/>
      <c r="C15" s="8"/>
      <c r="D15" s="8"/>
      <c r="E15" s="38"/>
      <c r="F15" s="35" t="s">
        <v>46</v>
      </c>
      <c r="G15" s="11">
        <v>1650</v>
      </c>
      <c r="H15" s="38" t="s">
        <v>3</v>
      </c>
      <c r="I15" s="39"/>
      <c r="J15" s="7"/>
      <c r="K15" s="8" t="s">
        <v>20</v>
      </c>
      <c r="L15" s="8"/>
      <c r="M15" s="8"/>
      <c r="N15" s="8"/>
      <c r="O15" s="8"/>
      <c r="P15" s="8"/>
      <c r="Q15" s="8"/>
      <c r="R15" s="9"/>
      <c r="S15" s="83"/>
      <c r="T15" s="81"/>
      <c r="U15" s="85"/>
      <c r="V15" s="83"/>
      <c r="W15" s="83"/>
      <c r="X15" s="83"/>
      <c r="Y15" s="83"/>
      <c r="Z15" s="83"/>
      <c r="AA15" s="83"/>
    </row>
    <row r="16" spans="1:27">
      <c r="A16" s="7"/>
      <c r="B16" s="8"/>
      <c r="C16" s="8"/>
      <c r="D16" s="8"/>
      <c r="E16" s="38"/>
      <c r="F16" s="35" t="s">
        <v>69</v>
      </c>
      <c r="G16" s="11">
        <v>0.43</v>
      </c>
      <c r="H16" s="38"/>
      <c r="I16" s="39"/>
      <c r="J16" s="7"/>
      <c r="K16" s="8"/>
      <c r="L16" s="8"/>
      <c r="M16" s="8"/>
      <c r="N16" s="8"/>
      <c r="O16" s="8"/>
      <c r="P16" s="8"/>
      <c r="Q16" s="8"/>
      <c r="R16" s="9"/>
      <c r="S16" s="83"/>
      <c r="T16" s="86"/>
      <c r="U16" s="85"/>
      <c r="V16" s="83"/>
      <c r="W16" s="83"/>
      <c r="X16" s="83"/>
      <c r="Y16" s="83"/>
      <c r="Z16" s="83"/>
      <c r="AA16" s="83"/>
    </row>
    <row r="17" spans="1:27">
      <c r="A17" s="7"/>
      <c r="B17" s="8"/>
      <c r="C17" s="8"/>
      <c r="D17" s="8"/>
      <c r="E17" s="38"/>
      <c r="F17" s="35" t="s">
        <v>68</v>
      </c>
      <c r="G17" s="11">
        <v>38.9</v>
      </c>
      <c r="H17" s="38" t="s">
        <v>70</v>
      </c>
      <c r="I17" s="39"/>
      <c r="J17" s="7"/>
      <c r="K17" s="8" t="s">
        <v>21</v>
      </c>
      <c r="L17" s="8"/>
      <c r="M17" s="8"/>
      <c r="N17" s="8"/>
      <c r="O17" s="8"/>
      <c r="P17" s="8"/>
      <c r="Q17" s="8"/>
      <c r="R17" s="9"/>
      <c r="S17" s="83"/>
      <c r="T17" s="86"/>
      <c r="U17" s="85"/>
      <c r="V17" s="83"/>
      <c r="W17" s="83"/>
      <c r="X17" s="83"/>
      <c r="Y17" s="83"/>
      <c r="Z17" s="83"/>
      <c r="AA17" s="83"/>
    </row>
    <row r="18" spans="1:27">
      <c r="A18" s="7"/>
      <c r="B18" s="8"/>
      <c r="C18" s="8"/>
      <c r="D18" s="8"/>
      <c r="E18" s="8"/>
      <c r="F18" s="8"/>
      <c r="G18" s="8"/>
      <c r="H18" s="8"/>
      <c r="I18" s="9"/>
      <c r="J18" s="7"/>
      <c r="K18" s="8" t="s">
        <v>38</v>
      </c>
      <c r="L18" s="8"/>
      <c r="M18" s="8"/>
      <c r="N18" s="8"/>
      <c r="O18" s="8"/>
      <c r="P18" s="62">
        <f>(C25*(83/2500)^3)^(1/5)</f>
        <v>0.44039760563370173</v>
      </c>
      <c r="Q18" s="8" t="s">
        <v>5</v>
      </c>
      <c r="R18" s="9"/>
      <c r="S18" s="83"/>
      <c r="T18" s="86"/>
      <c r="U18" s="85"/>
      <c r="V18" s="83"/>
      <c r="W18" s="83"/>
      <c r="X18" s="83"/>
      <c r="Y18" s="87"/>
      <c r="Z18" s="83"/>
      <c r="AA18" s="83"/>
    </row>
    <row r="19" spans="1:27">
      <c r="A19" s="7"/>
      <c r="B19" s="8"/>
      <c r="C19" s="8"/>
      <c r="D19" s="8"/>
      <c r="E19" s="8"/>
      <c r="F19" s="8"/>
      <c r="G19" s="8"/>
      <c r="H19" s="8"/>
      <c r="I19" s="9"/>
      <c r="J19" s="7"/>
      <c r="K19" s="8" t="s">
        <v>22</v>
      </c>
      <c r="L19" s="8"/>
      <c r="M19" s="8"/>
      <c r="N19" s="8"/>
      <c r="O19" s="8"/>
      <c r="P19" s="8"/>
      <c r="Q19" s="8"/>
      <c r="R19" s="9"/>
      <c r="S19" s="83"/>
      <c r="T19" s="86"/>
      <c r="U19" s="85"/>
      <c r="V19" s="83"/>
      <c r="W19" s="83"/>
      <c r="X19" s="83"/>
      <c r="Y19" s="83"/>
      <c r="Z19" s="83"/>
      <c r="AA19" s="83"/>
    </row>
    <row r="20" spans="1:27">
      <c r="A20" s="53" t="s">
        <v>39</v>
      </c>
      <c r="B20" s="38"/>
      <c r="C20" s="38"/>
      <c r="D20" s="38"/>
      <c r="E20" s="54" t="s">
        <v>24</v>
      </c>
      <c r="F20" s="40"/>
      <c r="G20" s="40"/>
      <c r="H20" s="40"/>
      <c r="I20" s="39"/>
      <c r="J20" s="7"/>
      <c r="K20" s="8" t="s">
        <v>25</v>
      </c>
      <c r="L20" s="8"/>
      <c r="M20" s="8"/>
      <c r="N20" s="8"/>
      <c r="O20" s="8"/>
      <c r="P20" s="8"/>
      <c r="Q20" s="8"/>
      <c r="R20" s="9"/>
      <c r="S20" s="83"/>
      <c r="T20" s="86"/>
      <c r="U20" s="85"/>
      <c r="V20" s="83"/>
      <c r="W20" s="83"/>
      <c r="X20" s="83"/>
      <c r="Y20" s="83"/>
      <c r="Z20" s="83"/>
      <c r="AA20" s="83"/>
    </row>
    <row r="21" spans="1:27">
      <c r="A21" s="42"/>
      <c r="B21" s="38"/>
      <c r="C21" s="38"/>
      <c r="D21" s="38"/>
      <c r="E21" s="38"/>
      <c r="F21" s="35" t="s">
        <v>51</v>
      </c>
      <c r="G21" s="57">
        <v>5</v>
      </c>
      <c r="H21" s="38" t="s">
        <v>30</v>
      </c>
      <c r="I21" s="39"/>
      <c r="J21" s="7"/>
      <c r="K21" s="8" t="s">
        <v>27</v>
      </c>
      <c r="L21" s="8"/>
      <c r="M21" s="8"/>
      <c r="N21" s="8"/>
      <c r="O21" s="8"/>
      <c r="P21" s="8"/>
      <c r="Q21" s="8"/>
      <c r="R21" s="9"/>
      <c r="S21" s="83"/>
      <c r="T21" s="86"/>
      <c r="U21" s="85"/>
      <c r="V21" s="83"/>
      <c r="W21" s="83"/>
      <c r="X21" s="83"/>
      <c r="Y21" s="83"/>
      <c r="Z21" s="83"/>
      <c r="AA21" s="83"/>
    </row>
    <row r="22" spans="1:27">
      <c r="A22" s="42"/>
      <c r="B22" s="35" t="s">
        <v>47</v>
      </c>
      <c r="C22" s="35">
        <v>1.4850000000000001</v>
      </c>
      <c r="D22" s="38"/>
      <c r="E22" s="11"/>
      <c r="F22" s="35" t="s">
        <v>50</v>
      </c>
      <c r="G22" s="58">
        <v>0.7</v>
      </c>
      <c r="H22" s="46" t="s">
        <v>5</v>
      </c>
      <c r="I22" s="39"/>
      <c r="J22" s="7"/>
      <c r="K22" s="8" t="s">
        <v>31</v>
      </c>
      <c r="L22" s="8"/>
      <c r="M22" s="8"/>
      <c r="N22" s="8"/>
      <c r="O22" s="8"/>
      <c r="P22" s="65">
        <f>G11*0.514444444</f>
        <v>0.257222222</v>
      </c>
      <c r="Q22" s="8" t="s">
        <v>35</v>
      </c>
      <c r="R22" s="9"/>
      <c r="S22" s="83"/>
      <c r="T22" s="86"/>
      <c r="U22" s="85"/>
      <c r="V22" s="83"/>
      <c r="W22" s="83"/>
      <c r="X22" s="88"/>
      <c r="Y22" s="89"/>
      <c r="Z22" s="83"/>
      <c r="AA22" s="83"/>
    </row>
    <row r="23" spans="1:27">
      <c r="A23" s="10"/>
      <c r="B23" s="35" t="s">
        <v>48</v>
      </c>
      <c r="C23" s="50">
        <f>C13/C22</f>
        <v>1683.5016835016834</v>
      </c>
      <c r="D23" s="46" t="s">
        <v>29</v>
      </c>
      <c r="E23" s="38"/>
      <c r="F23" s="47" t="s">
        <v>74</v>
      </c>
      <c r="G23" s="76">
        <v>0.64</v>
      </c>
      <c r="H23" s="38" t="s">
        <v>5</v>
      </c>
      <c r="I23" s="39"/>
      <c r="J23" s="7"/>
      <c r="K23" s="8"/>
      <c r="L23" s="8"/>
      <c r="M23" s="8"/>
      <c r="N23" s="8"/>
      <c r="O23" s="8"/>
      <c r="P23" s="8"/>
      <c r="Q23" s="8"/>
      <c r="R23" s="9"/>
      <c r="S23" s="83"/>
      <c r="T23" s="86"/>
      <c r="U23" s="85"/>
      <c r="V23" s="83"/>
      <c r="W23" s="83"/>
      <c r="X23" s="83"/>
      <c r="Y23" s="83"/>
      <c r="Z23" s="83"/>
      <c r="AA23" s="83"/>
    </row>
    <row r="24" spans="1:27">
      <c r="A24" s="10"/>
      <c r="B24" s="35" t="s">
        <v>48</v>
      </c>
      <c r="C24" s="50">
        <f>+C23/60</f>
        <v>28.058361391694724</v>
      </c>
      <c r="D24" s="46" t="s">
        <v>64</v>
      </c>
      <c r="E24" s="38"/>
      <c r="F24" s="8" t="s">
        <v>95</v>
      </c>
      <c r="G24" s="8">
        <v>0.9</v>
      </c>
      <c r="H24" s="8"/>
      <c r="I24" s="39"/>
      <c r="J24" s="7"/>
      <c r="K24" s="8"/>
      <c r="L24" s="8"/>
      <c r="M24" s="8"/>
      <c r="N24" s="8"/>
      <c r="O24" s="8"/>
      <c r="P24" s="63">
        <f>0.85*C25</f>
        <v>384.79499999999996</v>
      </c>
      <c r="Q24" s="8" t="s">
        <v>28</v>
      </c>
      <c r="R24" s="9"/>
      <c r="S24" s="90"/>
      <c r="T24" s="91"/>
      <c r="U24" s="85"/>
      <c r="V24" s="83"/>
      <c r="W24" s="83"/>
      <c r="X24" s="83"/>
      <c r="Y24" s="92"/>
      <c r="Z24" s="83"/>
      <c r="AA24" s="83"/>
    </row>
    <row r="25" spans="1:27">
      <c r="A25" s="34"/>
      <c r="B25" s="35" t="s">
        <v>49</v>
      </c>
      <c r="C25" s="73">
        <f>C12*0.9</f>
        <v>452.7</v>
      </c>
      <c r="D25" s="46" t="s">
        <v>28</v>
      </c>
      <c r="E25" s="38"/>
      <c r="F25" s="8"/>
      <c r="G25" s="8"/>
      <c r="H25" s="8"/>
      <c r="I25" s="39"/>
      <c r="J25" s="7"/>
      <c r="K25" s="8"/>
      <c r="L25" s="8"/>
      <c r="M25" s="8"/>
      <c r="N25" s="8"/>
      <c r="O25" s="8"/>
      <c r="P25" s="64"/>
      <c r="Q25" s="8"/>
      <c r="R25" s="9"/>
      <c r="S25" s="83"/>
      <c r="T25" s="83"/>
      <c r="U25" s="83"/>
      <c r="V25" s="83"/>
      <c r="W25" s="83"/>
      <c r="X25" s="83"/>
      <c r="Y25" s="93"/>
      <c r="Z25" s="83"/>
      <c r="AA25" s="83"/>
    </row>
    <row r="26" spans="1:27">
      <c r="A26" s="34"/>
      <c r="B26" s="8"/>
      <c r="C26" s="8"/>
      <c r="D26" s="29"/>
      <c r="E26" s="38"/>
      <c r="F26" s="41"/>
      <c r="G26" s="38"/>
      <c r="H26" s="38"/>
      <c r="I26" s="39"/>
      <c r="J26" s="7"/>
      <c r="K26" s="8" t="s">
        <v>33</v>
      </c>
      <c r="L26" s="8"/>
      <c r="M26" s="8"/>
      <c r="N26" s="8"/>
      <c r="O26" s="8"/>
      <c r="P26" s="64"/>
      <c r="Q26" s="8"/>
      <c r="R26" s="9"/>
      <c r="S26" s="83"/>
      <c r="T26" s="83"/>
      <c r="U26" s="83"/>
      <c r="V26" s="83"/>
      <c r="W26" s="83"/>
      <c r="X26" s="83"/>
      <c r="Y26" s="93"/>
      <c r="Z26" s="83"/>
      <c r="AA26" s="83"/>
    </row>
    <row r="27" spans="1:27">
      <c r="A27" s="42"/>
      <c r="B27" s="38"/>
      <c r="C27" s="38"/>
      <c r="D27" s="38"/>
      <c r="E27" s="38"/>
      <c r="F27" s="35" t="s">
        <v>58</v>
      </c>
      <c r="G27" s="30">
        <f>C25*0.98</f>
        <v>443.64599999999996</v>
      </c>
      <c r="H27" s="8" t="s">
        <v>28</v>
      </c>
      <c r="I27" s="39"/>
      <c r="J27" s="7"/>
      <c r="K27" s="8" t="s">
        <v>34</v>
      </c>
      <c r="L27" s="8"/>
      <c r="M27" s="8"/>
      <c r="N27" s="8"/>
      <c r="O27" s="8"/>
      <c r="P27" s="63">
        <f>0.55*P24</f>
        <v>211.63724999999999</v>
      </c>
      <c r="Q27" s="8" t="s">
        <v>28</v>
      </c>
      <c r="R27" s="9"/>
      <c r="S27" s="83"/>
      <c r="T27" s="83"/>
      <c r="U27" s="83"/>
      <c r="V27" s="88"/>
      <c r="W27" s="94"/>
      <c r="X27" s="83"/>
      <c r="Y27" s="92"/>
      <c r="Z27" s="83"/>
      <c r="AA27" s="83"/>
    </row>
    <row r="28" spans="1:27">
      <c r="A28" s="7"/>
      <c r="B28" s="8"/>
      <c r="C28" s="8"/>
      <c r="D28" s="8"/>
      <c r="E28" s="8"/>
      <c r="F28" s="35" t="s">
        <v>58</v>
      </c>
      <c r="G28" s="30">
        <f>+G27/0.7457</f>
        <v>594.93898350543111</v>
      </c>
      <c r="H28" s="38" t="s">
        <v>52</v>
      </c>
      <c r="I28" s="9"/>
      <c r="J28" s="7"/>
      <c r="K28" s="8" t="s">
        <v>36</v>
      </c>
      <c r="L28" s="8"/>
      <c r="M28" s="8"/>
      <c r="N28" s="8"/>
      <c r="O28" s="8"/>
      <c r="P28" s="65">
        <f>1-P31</f>
        <v>0.11199999999999999</v>
      </c>
      <c r="Q28" s="8"/>
      <c r="R28" s="9"/>
      <c r="S28" s="83"/>
      <c r="T28" s="83"/>
      <c r="U28" s="83"/>
      <c r="V28" s="83"/>
      <c r="W28" s="83"/>
      <c r="X28" s="83"/>
      <c r="Y28" s="83"/>
      <c r="Z28" s="83"/>
      <c r="AA28" s="83"/>
    </row>
    <row r="29" spans="1:27">
      <c r="A29" s="7"/>
      <c r="B29" s="8"/>
      <c r="C29" s="8"/>
      <c r="D29" s="8"/>
      <c r="E29" s="8"/>
      <c r="F29" s="8"/>
      <c r="G29" s="8"/>
      <c r="H29" s="8"/>
      <c r="I29" s="9"/>
      <c r="J29" s="7"/>
      <c r="K29" s="8" t="s">
        <v>37</v>
      </c>
      <c r="L29" s="8"/>
      <c r="M29" s="8"/>
      <c r="N29" s="8"/>
      <c r="O29" s="8"/>
      <c r="P29" s="65">
        <f>+(1-P28)*P22</f>
        <v>0.22841333313600001</v>
      </c>
      <c r="Q29" s="8" t="s">
        <v>35</v>
      </c>
      <c r="R29" s="9"/>
      <c r="S29" s="83"/>
      <c r="T29" s="83"/>
      <c r="U29" s="83"/>
      <c r="V29" s="83"/>
      <c r="W29" s="83"/>
      <c r="X29" s="83"/>
      <c r="Y29" s="89"/>
      <c r="Z29" s="83"/>
      <c r="AA29" s="83"/>
    </row>
    <row r="30" spans="1:27">
      <c r="A30" s="177"/>
      <c r="B30" s="176"/>
      <c r="C30" s="176"/>
      <c r="D30" s="176"/>
      <c r="E30" s="176"/>
      <c r="F30" s="176"/>
      <c r="G30" s="176"/>
      <c r="H30" s="176"/>
      <c r="I30" s="188"/>
      <c r="J30" s="7"/>
      <c r="K30" s="8"/>
      <c r="L30" s="8"/>
      <c r="M30" s="8"/>
      <c r="N30" s="8"/>
      <c r="O30" s="8"/>
      <c r="P30" s="65"/>
      <c r="Q30" s="8"/>
      <c r="R30" s="9"/>
      <c r="S30" s="83"/>
      <c r="T30" s="83"/>
      <c r="U30" s="83"/>
      <c r="V30" s="83"/>
      <c r="W30" s="83"/>
      <c r="X30" s="83"/>
      <c r="Y30" s="83"/>
      <c r="Z30" s="83"/>
      <c r="AA30" s="83"/>
    </row>
    <row r="31" spans="1:27">
      <c r="A31" s="177"/>
      <c r="B31" s="176"/>
      <c r="C31" s="176"/>
      <c r="D31" s="176"/>
      <c r="E31" s="176"/>
      <c r="F31" s="176"/>
      <c r="G31" s="176"/>
      <c r="H31" s="176"/>
      <c r="I31" s="188"/>
      <c r="J31" s="7"/>
      <c r="K31" s="8" t="s">
        <v>67</v>
      </c>
      <c r="L31" s="8"/>
      <c r="M31" s="8"/>
      <c r="N31" s="8"/>
      <c r="O31" s="8"/>
      <c r="P31" s="65">
        <f>1.06-(0.4*G16)</f>
        <v>0.88800000000000001</v>
      </c>
      <c r="Q31" s="8"/>
      <c r="R31" s="9"/>
      <c r="S31" s="83"/>
      <c r="T31" s="90"/>
      <c r="U31" s="83"/>
      <c r="V31" s="83"/>
      <c r="W31" s="83"/>
      <c r="X31" s="83"/>
      <c r="Y31" s="83"/>
      <c r="Z31" s="83"/>
      <c r="AA31" s="83"/>
    </row>
    <row r="32" spans="1:27">
      <c r="A32" s="7" t="s">
        <v>55</v>
      </c>
      <c r="B32" s="8"/>
      <c r="C32" s="8"/>
      <c r="D32" s="8"/>
      <c r="E32" s="8"/>
      <c r="F32" s="38"/>
      <c r="G32" s="38"/>
      <c r="H32" s="38"/>
      <c r="I32" s="39"/>
      <c r="J32" s="7"/>
      <c r="K32" s="8"/>
      <c r="L32" s="8"/>
      <c r="M32" s="8"/>
      <c r="N32" s="8"/>
      <c r="O32" s="8"/>
      <c r="P32" s="8"/>
      <c r="Q32" s="8"/>
      <c r="R32" s="9"/>
      <c r="S32" s="83"/>
      <c r="T32" s="83"/>
      <c r="U32" s="83"/>
      <c r="V32" s="83"/>
      <c r="W32" s="83"/>
      <c r="X32" s="83"/>
      <c r="Y32" s="83"/>
      <c r="Z32" s="83"/>
      <c r="AA32" s="83"/>
    </row>
    <row r="33" spans="1:27">
      <c r="A33" s="7" t="s">
        <v>96</v>
      </c>
      <c r="B33" s="8"/>
      <c r="C33" s="8"/>
      <c r="D33" s="8"/>
      <c r="E33" s="8"/>
      <c r="F33" s="11"/>
      <c r="G33" s="11"/>
      <c r="H33" s="11"/>
      <c r="I33" s="31"/>
      <c r="J33" s="7"/>
      <c r="K33" s="8" t="s">
        <v>34</v>
      </c>
      <c r="L33" s="8"/>
      <c r="M33" s="8"/>
      <c r="N33" s="8"/>
      <c r="O33" s="8"/>
      <c r="P33" s="8"/>
      <c r="Q33" s="8"/>
      <c r="R33" s="9"/>
      <c r="S33" s="83"/>
      <c r="T33" s="83"/>
      <c r="U33" s="83"/>
      <c r="V33" s="88"/>
      <c r="W33" s="93"/>
      <c r="X33" s="83"/>
      <c r="Y33" s="83"/>
      <c r="Z33" s="83"/>
      <c r="AA33" s="83"/>
    </row>
    <row r="34" spans="1:27">
      <c r="A34" s="7"/>
      <c r="B34" s="8"/>
      <c r="C34" s="62"/>
      <c r="D34" s="8"/>
      <c r="E34" s="8"/>
      <c r="F34" s="11"/>
      <c r="G34" s="11"/>
      <c r="H34" s="11"/>
      <c r="I34" s="31"/>
      <c r="J34" s="7"/>
      <c r="K34" s="8"/>
      <c r="L34" s="8"/>
      <c r="M34" s="8"/>
      <c r="N34" s="8"/>
      <c r="O34" s="8"/>
      <c r="P34" s="8"/>
      <c r="Q34" s="8"/>
      <c r="R34" s="9"/>
      <c r="S34" s="83"/>
      <c r="T34" s="83"/>
      <c r="U34" s="83"/>
      <c r="V34" s="83"/>
      <c r="W34" s="83"/>
      <c r="X34" s="83"/>
      <c r="Y34" s="83"/>
      <c r="Z34" s="83"/>
      <c r="AA34" s="83"/>
    </row>
    <row r="35" spans="1:27">
      <c r="A35" s="189" t="s">
        <v>97</v>
      </c>
      <c r="B35" s="190"/>
      <c r="C35" s="8"/>
      <c r="D35" s="8"/>
      <c r="E35" s="29"/>
      <c r="F35" s="30"/>
      <c r="G35" s="29"/>
      <c r="H35" s="29"/>
      <c r="I35" s="32"/>
      <c r="J35" s="7"/>
      <c r="K35" s="8"/>
      <c r="L35" s="64"/>
      <c r="M35" s="8"/>
      <c r="N35" s="8"/>
      <c r="O35" s="8"/>
      <c r="P35" s="8"/>
      <c r="Q35" s="8"/>
      <c r="R35" s="9"/>
      <c r="S35" s="83"/>
      <c r="T35" s="83"/>
      <c r="U35" s="93"/>
      <c r="V35" s="83"/>
      <c r="W35" s="83"/>
      <c r="X35" s="83"/>
      <c r="Y35" s="83"/>
      <c r="Z35" s="83"/>
      <c r="AA35" s="83"/>
    </row>
    <row r="36" spans="1:27">
      <c r="A36" s="7"/>
      <c r="B36" s="8"/>
      <c r="C36" s="8"/>
      <c r="D36" s="8"/>
      <c r="E36" s="29"/>
      <c r="F36" s="30"/>
      <c r="G36" s="29"/>
      <c r="H36" s="29"/>
      <c r="I36" s="32"/>
      <c r="J36" s="7"/>
      <c r="K36" s="8"/>
      <c r="L36" s="64"/>
      <c r="M36" s="8"/>
      <c r="N36" s="8"/>
      <c r="O36" s="8"/>
      <c r="P36" s="8"/>
      <c r="Q36" s="8"/>
      <c r="R36" s="9"/>
      <c r="S36" s="83"/>
      <c r="T36" s="90"/>
      <c r="U36" s="93"/>
      <c r="V36" s="83"/>
      <c r="W36" s="83"/>
      <c r="X36" s="83"/>
      <c r="Y36" s="83"/>
      <c r="Z36" s="83"/>
      <c r="AA36" s="83"/>
    </row>
    <row r="37" spans="1:27">
      <c r="A37" s="7"/>
      <c r="B37" s="8"/>
      <c r="C37" s="35" t="s">
        <v>73</v>
      </c>
      <c r="D37" s="78">
        <f>P29/(C24*G23)</f>
        <v>1.2719767489011E-2</v>
      </c>
      <c r="E37" s="29"/>
      <c r="F37" s="30" t="s">
        <v>57</v>
      </c>
      <c r="G37" s="29"/>
      <c r="H37" s="29"/>
      <c r="I37" s="32"/>
      <c r="J37" s="7"/>
      <c r="K37" s="8"/>
      <c r="L37" s="8"/>
      <c r="M37" s="8"/>
      <c r="N37" s="8"/>
      <c r="O37" s="8"/>
      <c r="P37" s="8"/>
      <c r="Q37" s="8"/>
      <c r="R37" s="9"/>
      <c r="S37" s="83"/>
      <c r="T37" s="83"/>
      <c r="U37" s="83"/>
      <c r="V37" s="83"/>
      <c r="W37" s="83"/>
      <c r="X37" s="83"/>
      <c r="Y37" s="83"/>
      <c r="Z37" s="83"/>
      <c r="AA37" s="83"/>
    </row>
    <row r="38" spans="1:27">
      <c r="A38" s="10"/>
      <c r="B38" s="11"/>
      <c r="C38" s="29"/>
      <c r="D38" s="35"/>
      <c r="E38" s="68"/>
      <c r="F38" s="35" t="s">
        <v>79</v>
      </c>
      <c r="G38" s="29">
        <v>8.5500000000000007E-2</v>
      </c>
      <c r="H38" s="29"/>
      <c r="I38" s="32"/>
      <c r="J38" s="7"/>
      <c r="K38" s="8"/>
      <c r="L38" s="8"/>
      <c r="M38" s="8"/>
      <c r="N38" s="8"/>
      <c r="O38" s="8"/>
      <c r="P38" s="8"/>
      <c r="Q38" s="8"/>
      <c r="R38" s="9"/>
      <c r="S38" s="83"/>
      <c r="T38" s="83"/>
      <c r="U38" s="83"/>
      <c r="V38" s="83"/>
      <c r="W38" s="83"/>
      <c r="X38" s="83"/>
      <c r="Y38" s="83"/>
      <c r="Z38" s="83"/>
      <c r="AA38" s="83"/>
    </row>
    <row r="39" spans="1:27">
      <c r="A39" s="34"/>
      <c r="B39" s="35"/>
      <c r="C39" s="29"/>
      <c r="D39" s="29"/>
      <c r="E39" s="47"/>
      <c r="F39" s="35" t="s">
        <v>83</v>
      </c>
      <c r="G39" s="11">
        <v>0.38</v>
      </c>
      <c r="H39" s="29"/>
      <c r="I39" s="32"/>
      <c r="J39" s="7"/>
      <c r="K39" s="8"/>
      <c r="L39" s="8"/>
      <c r="M39" s="8"/>
      <c r="N39" s="8"/>
      <c r="O39" s="8"/>
      <c r="P39" s="8"/>
      <c r="Q39" s="8"/>
      <c r="R39" s="9"/>
      <c r="S39" s="83"/>
      <c r="T39" s="83"/>
      <c r="U39" s="83"/>
      <c r="V39" s="88"/>
      <c r="W39" s="84"/>
      <c r="X39" s="83"/>
      <c r="Y39" s="83"/>
      <c r="Z39" s="83"/>
      <c r="AA39" s="83"/>
    </row>
    <row r="40" spans="1:27">
      <c r="A40" s="189" t="s">
        <v>78</v>
      </c>
      <c r="B40" s="190"/>
      <c r="C40" s="29"/>
      <c r="D40" s="35"/>
      <c r="E40" s="69"/>
      <c r="F40" s="8"/>
      <c r="G40" s="29"/>
      <c r="H40" s="29"/>
      <c r="I40" s="32"/>
      <c r="J40" s="7"/>
      <c r="K40" s="8"/>
      <c r="L40" s="8"/>
      <c r="M40" s="8"/>
      <c r="N40" s="8"/>
      <c r="O40" s="8"/>
      <c r="P40" s="8"/>
      <c r="Q40" s="8"/>
      <c r="R40" s="9"/>
      <c r="S40" s="83"/>
      <c r="T40" s="83"/>
      <c r="U40" s="83"/>
      <c r="V40" s="83"/>
      <c r="W40" s="83"/>
      <c r="X40" s="83"/>
      <c r="Y40" s="83"/>
      <c r="Z40" s="83"/>
      <c r="AA40" s="83"/>
    </row>
    <row r="41" spans="1:27">
      <c r="A41" s="34"/>
      <c r="B41" s="35"/>
      <c r="C41" s="29"/>
      <c r="D41" s="29"/>
      <c r="E41" s="47"/>
      <c r="F41" s="30"/>
      <c r="G41" s="29"/>
      <c r="H41" s="29"/>
      <c r="I41" s="32"/>
      <c r="J41" s="7"/>
      <c r="K41" s="8"/>
      <c r="L41" s="8"/>
      <c r="M41" s="8"/>
      <c r="N41" s="8"/>
      <c r="O41" s="8"/>
      <c r="P41" s="8"/>
      <c r="Q41" s="8"/>
      <c r="R41" s="9"/>
      <c r="S41" s="83"/>
      <c r="T41" s="83"/>
      <c r="U41" s="83"/>
      <c r="V41" s="83"/>
      <c r="W41" s="83"/>
      <c r="X41" s="83"/>
      <c r="Y41" s="83"/>
      <c r="Z41" s="83"/>
      <c r="AA41" s="83"/>
    </row>
    <row r="42" spans="1:27">
      <c r="A42" s="45"/>
      <c r="B42" s="35"/>
      <c r="C42" s="29"/>
      <c r="D42" s="35"/>
      <c r="E42" s="73"/>
      <c r="F42" s="8"/>
      <c r="G42" s="29"/>
      <c r="H42" s="29"/>
      <c r="I42" s="32"/>
      <c r="J42" s="7"/>
      <c r="K42" s="51"/>
      <c r="L42" s="8"/>
      <c r="M42" s="8"/>
      <c r="N42" s="8"/>
      <c r="O42" s="8"/>
      <c r="P42" s="8"/>
      <c r="Q42" s="8"/>
      <c r="R42" s="9"/>
      <c r="S42" s="83"/>
      <c r="T42" s="83"/>
      <c r="U42" s="83"/>
      <c r="V42" s="83"/>
      <c r="W42" s="83"/>
      <c r="X42" s="83"/>
      <c r="Y42" s="83"/>
      <c r="Z42" s="83"/>
      <c r="AA42" s="83"/>
    </row>
    <row r="43" spans="1:27">
      <c r="A43" s="10"/>
      <c r="B43" s="11"/>
      <c r="C43" s="12"/>
      <c r="D43" s="12"/>
      <c r="E43" s="47"/>
      <c r="F43" s="12"/>
      <c r="G43" s="12"/>
      <c r="H43" s="12"/>
      <c r="I43" s="33"/>
      <c r="J43" s="7"/>
      <c r="K43" s="8"/>
      <c r="L43" s="8"/>
      <c r="M43" s="8"/>
      <c r="N43" s="8"/>
      <c r="O43" s="8"/>
      <c r="P43" s="8"/>
      <c r="Q43" s="8"/>
      <c r="R43" s="9"/>
      <c r="S43" s="83"/>
      <c r="T43" s="184"/>
      <c r="U43" s="184"/>
      <c r="V43" s="184"/>
      <c r="W43" s="184"/>
      <c r="X43" s="83"/>
      <c r="Y43" s="83"/>
      <c r="Z43" s="83"/>
      <c r="AA43" s="83"/>
    </row>
    <row r="44" spans="1:27">
      <c r="A44" s="45"/>
      <c r="B44" s="11"/>
      <c r="C44" s="12"/>
      <c r="D44" s="35"/>
      <c r="E44" s="73"/>
      <c r="F44" s="38"/>
      <c r="G44" s="12"/>
      <c r="H44" s="12"/>
      <c r="I44" s="39"/>
      <c r="J44" s="7"/>
      <c r="K44" s="8"/>
      <c r="L44" s="8"/>
      <c r="M44" s="8"/>
      <c r="N44" s="8"/>
      <c r="O44" s="8"/>
      <c r="P44" s="8"/>
      <c r="Q44" s="8"/>
      <c r="R44" s="9"/>
      <c r="S44" s="83"/>
      <c r="T44" s="88"/>
      <c r="U44" s="83"/>
      <c r="V44" s="83"/>
      <c r="W44" s="83"/>
      <c r="X44" s="83"/>
      <c r="Y44" s="83"/>
      <c r="Z44" s="83"/>
      <c r="AA44" s="83"/>
    </row>
    <row r="45" spans="1:27">
      <c r="A45" s="186" t="s">
        <v>84</v>
      </c>
      <c r="B45" s="187"/>
      <c r="C45" s="187"/>
      <c r="D45" s="44"/>
      <c r="E45" s="44"/>
      <c r="F45" s="43"/>
      <c r="G45" s="43"/>
      <c r="H45" s="43"/>
      <c r="I45" s="39"/>
      <c r="J45" s="7"/>
      <c r="K45" s="8"/>
      <c r="L45" s="8"/>
      <c r="M45" s="8"/>
      <c r="N45" s="8"/>
      <c r="O45" s="8"/>
      <c r="P45" s="8"/>
      <c r="Q45" s="8"/>
      <c r="R45" s="9"/>
      <c r="S45" s="83"/>
      <c r="T45" s="88"/>
      <c r="U45" s="83"/>
      <c r="V45" s="83"/>
      <c r="W45" s="83"/>
      <c r="X45" s="83"/>
      <c r="Y45" s="83"/>
      <c r="Z45" s="83"/>
      <c r="AA45" s="83"/>
    </row>
    <row r="46" spans="1:27">
      <c r="A46" s="42"/>
      <c r="B46" s="38"/>
      <c r="C46" s="44"/>
      <c r="D46" s="44"/>
      <c r="E46" s="44"/>
      <c r="F46" s="43"/>
      <c r="G46" s="43"/>
      <c r="H46" s="43"/>
      <c r="I46" s="39"/>
      <c r="J46" s="7"/>
      <c r="K46" s="8"/>
      <c r="L46" s="8"/>
      <c r="M46" s="8"/>
      <c r="N46" s="8"/>
      <c r="O46" s="8"/>
      <c r="P46" s="8"/>
      <c r="Q46" s="8"/>
      <c r="R46" s="9"/>
      <c r="S46" s="83"/>
      <c r="T46" s="83"/>
      <c r="U46" s="83"/>
      <c r="V46" s="83"/>
      <c r="W46" s="83"/>
      <c r="X46" s="83"/>
      <c r="Y46" s="83"/>
      <c r="Z46" s="83"/>
      <c r="AA46" s="83"/>
    </row>
    <row r="47" spans="1:27">
      <c r="A47" s="42"/>
      <c r="B47" s="38"/>
      <c r="C47" s="43"/>
      <c r="D47" s="35" t="s">
        <v>86</v>
      </c>
      <c r="E47" s="56">
        <f>+G39*(1025*(C24^2)*(G23^5))</f>
        <v>32925.466824372925</v>
      </c>
      <c r="F47" s="38" t="s">
        <v>87</v>
      </c>
      <c r="G47" s="43"/>
      <c r="H47" s="43"/>
      <c r="I47" s="39"/>
      <c r="J47" s="7"/>
      <c r="K47" s="8"/>
      <c r="L47" s="8"/>
      <c r="M47" s="8"/>
      <c r="N47" s="8"/>
      <c r="O47" s="8"/>
      <c r="P47" s="8"/>
      <c r="Q47" s="8"/>
      <c r="R47" s="9"/>
      <c r="S47" s="83"/>
      <c r="T47" s="90"/>
      <c r="U47" s="83"/>
      <c r="V47" s="83"/>
      <c r="W47" s="83"/>
      <c r="X47" s="83"/>
      <c r="Y47" s="83"/>
      <c r="Z47" s="83"/>
      <c r="AA47" s="83"/>
    </row>
    <row r="48" spans="1:27">
      <c r="A48" s="42"/>
      <c r="B48" s="38"/>
      <c r="C48" s="38"/>
      <c r="D48" s="35" t="s">
        <v>86</v>
      </c>
      <c r="E48" s="80">
        <f>+(E47/10)/1000</f>
        <v>3.2925466824372926</v>
      </c>
      <c r="F48" s="38" t="s">
        <v>99</v>
      </c>
      <c r="G48" s="38"/>
      <c r="H48" s="38"/>
      <c r="I48" s="39"/>
      <c r="J48" s="7"/>
      <c r="K48" s="8"/>
      <c r="L48" s="8"/>
      <c r="M48" s="8"/>
      <c r="N48" s="8"/>
      <c r="O48" s="8"/>
      <c r="P48" s="8"/>
      <c r="Q48" s="8"/>
      <c r="R48" s="9"/>
      <c r="S48" s="83"/>
      <c r="T48" s="83"/>
      <c r="U48" s="83"/>
      <c r="V48" s="83"/>
      <c r="W48" s="83"/>
      <c r="X48" s="83"/>
      <c r="Y48" s="83"/>
      <c r="Z48" s="83"/>
      <c r="AA48" s="83"/>
    </row>
    <row r="49" spans="1:27">
      <c r="A49" s="42"/>
      <c r="B49" s="38"/>
      <c r="C49" s="38"/>
      <c r="D49" s="38"/>
      <c r="E49" s="38"/>
      <c r="F49" s="38"/>
      <c r="G49" s="38"/>
      <c r="H49" s="38"/>
      <c r="I49" s="39"/>
      <c r="J49" s="7"/>
      <c r="K49" s="8"/>
      <c r="L49" s="8"/>
      <c r="M49" s="8"/>
      <c r="N49" s="8"/>
      <c r="O49" s="8"/>
      <c r="P49" s="8"/>
      <c r="Q49" s="8"/>
      <c r="R49" s="9"/>
      <c r="S49" s="83"/>
      <c r="T49" s="83"/>
      <c r="U49" s="83"/>
      <c r="V49" s="83"/>
      <c r="W49" s="83"/>
      <c r="X49" s="83"/>
      <c r="Y49" s="83"/>
      <c r="Z49" s="83"/>
      <c r="AA49" s="83"/>
    </row>
    <row r="50" spans="1:27">
      <c r="A50" s="36" t="s">
        <v>55</v>
      </c>
      <c r="B50" s="38"/>
      <c r="C50" s="38"/>
      <c r="D50" s="38"/>
      <c r="E50" s="38"/>
      <c r="F50" s="38"/>
      <c r="G50" s="38"/>
      <c r="H50" s="38"/>
      <c r="I50" s="39"/>
      <c r="J50" s="36"/>
      <c r="K50" s="38"/>
      <c r="L50" s="38"/>
      <c r="M50" s="38"/>
      <c r="N50" s="38"/>
      <c r="O50" s="38"/>
      <c r="P50" s="38"/>
      <c r="Q50" s="38"/>
      <c r="R50" s="39"/>
      <c r="S50" s="95"/>
      <c r="T50" s="96"/>
      <c r="U50" s="96"/>
      <c r="V50" s="88"/>
      <c r="W50" s="97"/>
      <c r="X50" s="96"/>
      <c r="Y50" s="96"/>
      <c r="Z50" s="96"/>
      <c r="AA50" s="96"/>
    </row>
    <row r="51" spans="1:27">
      <c r="A51" s="36" t="s">
        <v>98</v>
      </c>
      <c r="B51" s="38"/>
      <c r="C51" s="38"/>
      <c r="D51" s="38"/>
      <c r="E51" s="38"/>
      <c r="F51" s="38"/>
      <c r="G51" s="38"/>
      <c r="H51" s="38"/>
      <c r="I51" s="39"/>
      <c r="J51" s="36"/>
      <c r="K51" s="38"/>
      <c r="L51" s="38"/>
      <c r="M51" s="38"/>
      <c r="N51" s="38"/>
      <c r="O51" s="38"/>
      <c r="P51" s="38"/>
      <c r="Q51" s="38"/>
      <c r="R51" s="39"/>
      <c r="S51" s="95"/>
      <c r="T51" s="96"/>
      <c r="U51" s="96"/>
      <c r="V51" s="96"/>
      <c r="W51" s="96"/>
      <c r="X51" s="96"/>
      <c r="Y51" s="96"/>
      <c r="Z51" s="96"/>
      <c r="AA51" s="96"/>
    </row>
    <row r="52" spans="1:27">
      <c r="A52" s="59"/>
      <c r="B52" s="60"/>
      <c r="C52" s="60"/>
      <c r="D52" s="60"/>
      <c r="E52" s="60"/>
      <c r="F52" s="60"/>
      <c r="G52" s="60"/>
      <c r="H52" s="60"/>
      <c r="I52" s="61"/>
      <c r="J52" s="59"/>
      <c r="K52" s="60"/>
      <c r="L52" s="60"/>
      <c r="M52" s="60"/>
      <c r="N52" s="60"/>
      <c r="O52" s="60"/>
      <c r="P52" s="60"/>
      <c r="Q52" s="60"/>
      <c r="R52" s="61"/>
      <c r="S52" s="96"/>
      <c r="T52" s="96"/>
      <c r="U52" s="96"/>
      <c r="V52" s="96"/>
      <c r="W52" s="96"/>
      <c r="X52" s="96"/>
      <c r="Y52" s="96"/>
      <c r="Z52" s="96"/>
      <c r="AA52" s="96"/>
    </row>
    <row r="53" spans="1:27">
      <c r="A53" s="152" t="s">
        <v>7</v>
      </c>
      <c r="B53" s="174"/>
      <c r="C53" s="175"/>
      <c r="D53" s="152" t="s">
        <v>8</v>
      </c>
      <c r="E53" s="174"/>
      <c r="F53" s="175"/>
      <c r="G53" s="152" t="s">
        <v>9</v>
      </c>
      <c r="H53" s="153"/>
      <c r="I53" s="154"/>
      <c r="J53" s="152" t="s">
        <v>7</v>
      </c>
      <c r="K53" s="174"/>
      <c r="L53" s="175"/>
      <c r="M53" s="152" t="s">
        <v>8</v>
      </c>
      <c r="N53" s="174"/>
      <c r="O53" s="175"/>
      <c r="P53" s="152" t="s">
        <v>9</v>
      </c>
      <c r="Q53" s="153"/>
      <c r="R53" s="154"/>
      <c r="S53" s="180"/>
      <c r="T53" s="182"/>
      <c r="U53" s="182"/>
      <c r="V53" s="180"/>
      <c r="W53" s="182"/>
      <c r="X53" s="182"/>
      <c r="Y53" s="180"/>
      <c r="Z53" s="180"/>
      <c r="AA53" s="180"/>
    </row>
    <row r="54" spans="1:27">
      <c r="A54" s="171" t="s">
        <v>0</v>
      </c>
      <c r="B54" s="172"/>
      <c r="C54" s="173"/>
      <c r="D54" s="171"/>
      <c r="E54" s="172"/>
      <c r="F54" s="173"/>
      <c r="G54" s="15"/>
      <c r="H54" s="16"/>
      <c r="I54" s="17">
        <v>0</v>
      </c>
      <c r="J54" s="171" t="s">
        <v>0</v>
      </c>
      <c r="K54" s="172"/>
      <c r="L54" s="173"/>
      <c r="M54" s="171"/>
      <c r="N54" s="172"/>
      <c r="O54" s="173"/>
      <c r="P54" s="15"/>
      <c r="Q54" s="16"/>
      <c r="R54" s="17">
        <v>0</v>
      </c>
      <c r="S54" s="180"/>
      <c r="T54" s="180"/>
      <c r="U54" s="180"/>
      <c r="V54" s="180"/>
      <c r="W54" s="180"/>
      <c r="X54" s="180"/>
      <c r="Y54" s="98"/>
      <c r="Z54" s="99"/>
      <c r="AA54" s="98"/>
    </row>
    <row r="55" spans="1:27">
      <c r="A55" s="18" t="s">
        <v>10</v>
      </c>
      <c r="B55" s="19"/>
      <c r="C55" s="20"/>
      <c r="D55" s="152"/>
      <c r="E55" s="153"/>
      <c r="F55" s="154"/>
      <c r="G55" s="21" t="s">
        <v>11</v>
      </c>
      <c r="H55" s="22"/>
      <c r="I55" s="14"/>
      <c r="J55" s="18" t="s">
        <v>10</v>
      </c>
      <c r="K55" s="19"/>
      <c r="L55" s="20"/>
      <c r="M55" s="152"/>
      <c r="N55" s="153"/>
      <c r="O55" s="154"/>
      <c r="P55" s="21" t="s">
        <v>11</v>
      </c>
      <c r="Q55" s="22"/>
      <c r="R55" s="14"/>
      <c r="S55" s="100"/>
      <c r="T55" s="100"/>
      <c r="U55" s="100"/>
      <c r="V55" s="180"/>
      <c r="W55" s="180"/>
      <c r="X55" s="180"/>
      <c r="Y55" s="100"/>
      <c r="Z55" s="100"/>
      <c r="AA55" s="99"/>
    </row>
    <row r="56" spans="1:27">
      <c r="A56" s="23">
        <v>39825</v>
      </c>
      <c r="B56" s="24"/>
      <c r="C56" s="25"/>
      <c r="D56" s="155"/>
      <c r="E56" s="156"/>
      <c r="F56" s="157"/>
      <c r="G56" s="26"/>
      <c r="H56" s="24"/>
      <c r="I56" s="27" t="s">
        <v>61</v>
      </c>
      <c r="J56" s="23">
        <v>39825</v>
      </c>
      <c r="K56" s="24"/>
      <c r="L56" s="25"/>
      <c r="M56" s="155"/>
      <c r="N56" s="156"/>
      <c r="O56" s="157"/>
      <c r="P56" s="26"/>
      <c r="Q56" s="24"/>
      <c r="R56" s="27" t="s">
        <v>60</v>
      </c>
      <c r="S56" s="101"/>
      <c r="T56" s="99"/>
      <c r="U56" s="99"/>
      <c r="V56" s="181"/>
      <c r="W56" s="181"/>
      <c r="X56" s="181"/>
      <c r="Y56" s="99"/>
      <c r="Z56" s="99"/>
      <c r="AA56" s="102"/>
    </row>
  </sheetData>
  <mergeCells count="51">
    <mergeCell ref="T43:W43"/>
    <mergeCell ref="A1:I1"/>
    <mergeCell ref="A3:C3"/>
    <mergeCell ref="G3:I3"/>
    <mergeCell ref="A4:C4"/>
    <mergeCell ref="D4:F4"/>
    <mergeCell ref="G4:I4"/>
    <mergeCell ref="A2:I2"/>
    <mergeCell ref="A35:B35"/>
    <mergeCell ref="A40:B40"/>
    <mergeCell ref="J1:R1"/>
    <mergeCell ref="S1:AA1"/>
    <mergeCell ref="V4:X4"/>
    <mergeCell ref="Y4:AA4"/>
    <mergeCell ref="M4:O4"/>
    <mergeCell ref="P4:R4"/>
    <mergeCell ref="A45:C45"/>
    <mergeCell ref="E10:G10"/>
    <mergeCell ref="J3:L3"/>
    <mergeCell ref="A8:I8"/>
    <mergeCell ref="A30:I30"/>
    <mergeCell ref="A31:I31"/>
    <mergeCell ref="A7:I7"/>
    <mergeCell ref="J4:L4"/>
    <mergeCell ref="S4:U4"/>
    <mergeCell ref="J2:R2"/>
    <mergeCell ref="S2:AA2"/>
    <mergeCell ref="P3:R3"/>
    <mergeCell ref="S3:U3"/>
    <mergeCell ref="Y3:AA3"/>
    <mergeCell ref="P53:R53"/>
    <mergeCell ref="S53:U53"/>
    <mergeCell ref="V53:X53"/>
    <mergeCell ref="Y53:AA53"/>
    <mergeCell ref="A54:C54"/>
    <mergeCell ref="D54:F54"/>
    <mergeCell ref="J54:L54"/>
    <mergeCell ref="M54:O54"/>
    <mergeCell ref="S54:U54"/>
    <mergeCell ref="V54:X54"/>
    <mergeCell ref="A53:C53"/>
    <mergeCell ref="D53:F53"/>
    <mergeCell ref="G53:I53"/>
    <mergeCell ref="J53:L53"/>
    <mergeCell ref="M53:O53"/>
    <mergeCell ref="D55:F55"/>
    <mergeCell ref="M55:O55"/>
    <mergeCell ref="V55:X55"/>
    <mergeCell ref="D56:F56"/>
    <mergeCell ref="M56:O56"/>
    <mergeCell ref="V56:X56"/>
  </mergeCells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  <legacyDrawing r:id="rId2"/>
  <oleObjects>
    <oleObject progId="Equation.DSMT4" shapeId="2049" r:id="rId3"/>
    <oleObject progId="Equation.DSMT4" shapeId="2050" r:id="rId4"/>
    <oleObject progId="Equation.DSMT4" shapeId="2051" r:id="rId5"/>
    <oleObject progId="Equation.DSMT4" shapeId="2052" r:id="rId6"/>
    <oleObject progId="Equation.DSMT4" shapeId="2053" r:id="rId7"/>
    <oleObject progId="Equation.DSMT4" shapeId="2054" r:id="rId8"/>
    <oleObject progId="Equation.DSMT4" shapeId="2057" r:id="rId9"/>
    <oleObject progId="Equation.DSMT4" shapeId="2058" r:id="rId10"/>
    <oleObject progId="Equation.DSMT4" shapeId="2063" r:id="rId11"/>
    <oleObject progId="Equation.DSMT4" shapeId="2064" r:id="rId12"/>
    <oleObject progId="Equation.DSMT4" shapeId="2065" r:id="rId1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R56"/>
  <sheetViews>
    <sheetView view="pageLayout" topLeftCell="E1" workbookViewId="0">
      <selection activeCell="P34" sqref="P34"/>
    </sheetView>
  </sheetViews>
  <sheetFormatPr defaultRowHeight="12.75"/>
  <cols>
    <col min="11" max="11" width="12.42578125" bestFit="1" customWidth="1"/>
  </cols>
  <sheetData>
    <row r="1" spans="2:18">
      <c r="J1" s="162" t="s">
        <v>13</v>
      </c>
      <c r="K1" s="163"/>
      <c r="L1" s="163"/>
      <c r="M1" s="163"/>
      <c r="N1" s="163"/>
      <c r="O1" s="163"/>
      <c r="P1" s="163"/>
      <c r="Q1" s="163"/>
      <c r="R1" s="164"/>
    </row>
    <row r="2" spans="2:18" ht="15">
      <c r="J2" s="165" t="s">
        <v>14</v>
      </c>
      <c r="K2" s="166"/>
      <c r="L2" s="166"/>
      <c r="M2" s="166"/>
      <c r="N2" s="166"/>
      <c r="O2" s="166"/>
      <c r="P2" s="166"/>
      <c r="Q2" s="166"/>
      <c r="R2" s="167"/>
    </row>
    <row r="3" spans="2:18">
      <c r="J3" s="120" t="s">
        <v>100</v>
      </c>
      <c r="K3" s="117"/>
      <c r="L3" s="118"/>
      <c r="M3" s="116" t="s">
        <v>2</v>
      </c>
      <c r="N3" s="114"/>
      <c r="O3" s="115"/>
      <c r="P3" s="116" t="s">
        <v>1</v>
      </c>
      <c r="Q3" s="117"/>
      <c r="R3" s="118"/>
    </row>
    <row r="4" spans="2:18" ht="15">
      <c r="J4" s="106" t="s">
        <v>12</v>
      </c>
      <c r="K4" s="107"/>
      <c r="L4" s="108"/>
      <c r="M4" s="106" t="s">
        <v>6</v>
      </c>
      <c r="N4" s="107"/>
      <c r="O4" s="108"/>
      <c r="P4" s="121" t="s">
        <v>101</v>
      </c>
      <c r="Q4" s="107"/>
      <c r="R4" s="108"/>
    </row>
    <row r="5" spans="2:18">
      <c r="B5" t="s">
        <v>86</v>
      </c>
      <c r="C5">
        <v>56</v>
      </c>
      <c r="D5" t="s">
        <v>103</v>
      </c>
      <c r="J5" s="4"/>
      <c r="K5" s="103"/>
      <c r="L5" s="103"/>
      <c r="M5" s="103"/>
      <c r="N5" s="103"/>
      <c r="O5" s="103"/>
      <c r="P5" s="103"/>
      <c r="Q5" s="103"/>
      <c r="R5" s="104"/>
    </row>
    <row r="6" spans="2:18">
      <c r="B6" t="s">
        <v>42</v>
      </c>
      <c r="C6">
        <v>11</v>
      </c>
      <c r="D6" t="s">
        <v>104</v>
      </c>
      <c r="J6" s="7"/>
      <c r="K6" s="16"/>
      <c r="L6" s="16"/>
      <c r="M6" s="16"/>
      <c r="N6" s="16"/>
      <c r="O6" s="16"/>
      <c r="P6" s="16"/>
      <c r="Q6" s="16"/>
      <c r="R6" s="9"/>
    </row>
    <row r="7" spans="2:18">
      <c r="B7" t="s">
        <v>48</v>
      </c>
      <c r="J7" s="177" t="s">
        <v>16</v>
      </c>
      <c r="K7" s="176"/>
      <c r="L7" s="176"/>
      <c r="M7" s="176"/>
      <c r="N7" s="176"/>
      <c r="O7" s="176"/>
      <c r="P7" s="176"/>
      <c r="Q7" s="176"/>
      <c r="R7" s="188"/>
    </row>
    <row r="8" spans="2:18">
      <c r="J8" s="177" t="s">
        <v>17</v>
      </c>
      <c r="K8" s="176"/>
      <c r="L8" s="176"/>
      <c r="M8" s="176"/>
      <c r="N8" s="176"/>
      <c r="O8" s="176"/>
      <c r="P8" s="176"/>
      <c r="Q8" s="176"/>
      <c r="R8" s="188"/>
    </row>
    <row r="9" spans="2:18">
      <c r="J9" s="7"/>
      <c r="K9" s="16"/>
      <c r="L9" s="16"/>
      <c r="M9" s="16"/>
      <c r="N9" s="16"/>
      <c r="O9" s="16"/>
      <c r="P9" s="16"/>
      <c r="Q9" s="16"/>
      <c r="R9" s="9"/>
    </row>
    <row r="10" spans="2:18">
      <c r="J10" s="52" t="s">
        <v>23</v>
      </c>
      <c r="K10" s="16"/>
      <c r="L10" s="28"/>
      <c r="M10" s="16"/>
      <c r="N10" s="112" t="s">
        <v>26</v>
      </c>
      <c r="O10" s="112"/>
      <c r="P10" s="112"/>
      <c r="Q10" s="29"/>
      <c r="R10" s="9"/>
    </row>
    <row r="11" spans="2:18">
      <c r="J11" s="7"/>
      <c r="K11" s="16"/>
      <c r="L11" s="28"/>
      <c r="M11" s="16"/>
      <c r="N11" s="38"/>
      <c r="O11" s="35" t="s">
        <v>42</v>
      </c>
      <c r="P11" s="29">
        <v>9</v>
      </c>
      <c r="Q11" s="38" t="s">
        <v>32</v>
      </c>
      <c r="R11" s="9"/>
    </row>
    <row r="12" spans="2:18">
      <c r="J12" s="7"/>
      <c r="K12" s="35" t="s">
        <v>40</v>
      </c>
      <c r="L12" s="35">
        <v>750</v>
      </c>
      <c r="M12" s="51" t="s">
        <v>28</v>
      </c>
      <c r="N12" s="38"/>
      <c r="O12" s="35" t="s">
        <v>43</v>
      </c>
      <c r="P12" s="110">
        <v>53</v>
      </c>
      <c r="Q12" s="38" t="s">
        <v>5</v>
      </c>
      <c r="R12" s="9"/>
    </row>
    <row r="13" spans="2:18">
      <c r="J13" s="36"/>
      <c r="K13" s="55" t="s">
        <v>41</v>
      </c>
      <c r="L13" s="47">
        <v>1800</v>
      </c>
      <c r="M13" s="38" t="s">
        <v>29</v>
      </c>
      <c r="N13" s="38"/>
      <c r="O13" s="35" t="s">
        <v>44</v>
      </c>
      <c r="P13" s="110">
        <v>11</v>
      </c>
      <c r="Q13" s="38" t="s">
        <v>5</v>
      </c>
      <c r="R13" s="39"/>
    </row>
    <row r="14" spans="2:18">
      <c r="J14" s="36"/>
      <c r="K14" s="37"/>
      <c r="L14" s="38"/>
      <c r="M14" s="38"/>
      <c r="N14" s="38"/>
      <c r="O14" s="35" t="s">
        <v>45</v>
      </c>
      <c r="P14" s="110">
        <v>2.2000000000000002</v>
      </c>
      <c r="Q14" s="38" t="s">
        <v>5</v>
      </c>
      <c r="R14" s="39"/>
    </row>
    <row r="15" spans="2:18">
      <c r="J15" s="7"/>
      <c r="K15" s="35" t="s">
        <v>86</v>
      </c>
      <c r="L15" s="123">
        <v>0.54869999999999997</v>
      </c>
      <c r="M15" s="16" t="s">
        <v>103</v>
      </c>
      <c r="N15" s="38"/>
      <c r="O15" s="35" t="s">
        <v>46</v>
      </c>
      <c r="P15" s="110">
        <v>1080</v>
      </c>
      <c r="Q15" s="38" t="s">
        <v>3</v>
      </c>
      <c r="R15" s="39"/>
    </row>
    <row r="16" spans="2:18">
      <c r="J16" s="7"/>
      <c r="K16" s="55" t="s">
        <v>105</v>
      </c>
      <c r="L16" s="124">
        <f>+'Velocidade de 9 nós'!E36</f>
        <v>4.1287253297664002</v>
      </c>
      <c r="M16" s="122" t="s">
        <v>35</v>
      </c>
      <c r="N16" s="38"/>
      <c r="O16" s="35" t="s">
        <v>69</v>
      </c>
      <c r="P16" s="110">
        <v>0.82599999999999996</v>
      </c>
      <c r="Q16" s="38"/>
      <c r="R16" s="39"/>
    </row>
    <row r="17" spans="10:18">
      <c r="J17" s="7"/>
      <c r="K17" s="16"/>
      <c r="L17" s="16"/>
      <c r="M17" s="16"/>
      <c r="N17" s="38"/>
      <c r="O17" s="35" t="s">
        <v>68</v>
      </c>
      <c r="P17" s="110">
        <v>111.414</v>
      </c>
      <c r="Q17" s="38" t="s">
        <v>70</v>
      </c>
      <c r="R17" s="39"/>
    </row>
    <row r="18" spans="10:18">
      <c r="J18" s="7"/>
      <c r="K18" s="16"/>
      <c r="L18" s="16"/>
      <c r="M18" s="16"/>
      <c r="N18" s="16"/>
      <c r="O18" s="16"/>
      <c r="P18" s="16"/>
      <c r="Q18" s="16"/>
      <c r="R18" s="9"/>
    </row>
    <row r="19" spans="10:18">
      <c r="J19" s="7"/>
      <c r="K19" s="16"/>
      <c r="L19" s="16"/>
      <c r="M19" s="16"/>
      <c r="N19" s="16"/>
      <c r="O19" s="16"/>
      <c r="P19" s="16"/>
      <c r="Q19" s="16"/>
      <c r="R19" s="9"/>
    </row>
    <row r="20" spans="10:18">
      <c r="J20" s="53" t="s">
        <v>39</v>
      </c>
      <c r="K20" s="38"/>
      <c r="L20" s="38"/>
      <c r="M20" s="38"/>
      <c r="N20" s="54" t="s">
        <v>24</v>
      </c>
      <c r="O20" s="40"/>
      <c r="P20" s="40"/>
      <c r="Q20" s="40"/>
      <c r="R20" s="39"/>
    </row>
    <row r="21" spans="10:18">
      <c r="J21" s="42"/>
      <c r="K21" s="38"/>
      <c r="L21" s="38"/>
      <c r="M21" s="38"/>
      <c r="N21" s="38"/>
      <c r="O21" s="35" t="s">
        <v>51</v>
      </c>
      <c r="P21" s="57">
        <v>4</v>
      </c>
      <c r="Q21" s="38" t="s">
        <v>30</v>
      </c>
      <c r="R21" s="39"/>
    </row>
    <row r="22" spans="10:18">
      <c r="J22" s="42"/>
      <c r="K22" s="35" t="s">
        <v>47</v>
      </c>
      <c r="L22" s="35">
        <v>2.4500000000000002</v>
      </c>
      <c r="M22" s="38"/>
      <c r="N22" s="110"/>
      <c r="O22" s="35" t="s">
        <v>50</v>
      </c>
      <c r="P22" s="119">
        <v>1.5</v>
      </c>
      <c r="Q22" s="113" t="s">
        <v>5</v>
      </c>
      <c r="R22" s="39"/>
    </row>
    <row r="23" spans="10:18">
      <c r="J23" s="109"/>
      <c r="K23" s="35" t="s">
        <v>48</v>
      </c>
      <c r="L23" s="50">
        <f>L13/L22</f>
        <v>734.69387755102036</v>
      </c>
      <c r="M23" s="113" t="s">
        <v>29</v>
      </c>
      <c r="N23" s="38"/>
      <c r="O23" s="47"/>
      <c r="P23" s="49"/>
      <c r="Q23" s="38"/>
      <c r="R23" s="39"/>
    </row>
    <row r="24" spans="10:18">
      <c r="J24" s="109"/>
      <c r="K24" s="35" t="s">
        <v>48</v>
      </c>
      <c r="L24" s="50">
        <f>+L23/60</f>
        <v>12.244897959183673</v>
      </c>
      <c r="M24" s="113" t="s">
        <v>64</v>
      </c>
      <c r="N24" s="38"/>
      <c r="O24" s="35" t="s">
        <v>58</v>
      </c>
      <c r="P24" s="30">
        <f>L25*0.98</f>
        <v>661.5</v>
      </c>
      <c r="Q24" s="51" t="s">
        <v>28</v>
      </c>
      <c r="R24" s="39"/>
    </row>
    <row r="25" spans="10:18">
      <c r="J25" s="34"/>
      <c r="K25" s="35" t="s">
        <v>49</v>
      </c>
      <c r="L25" s="47">
        <f>L12*0.9</f>
        <v>675</v>
      </c>
      <c r="M25" s="113" t="s">
        <v>28</v>
      </c>
      <c r="N25" s="38"/>
      <c r="O25" s="35" t="s">
        <v>58</v>
      </c>
      <c r="P25" s="30">
        <f>+P24/0.7457</f>
        <v>887.08595950113988</v>
      </c>
      <c r="Q25" s="38" t="s">
        <v>52</v>
      </c>
      <c r="R25" s="39"/>
    </row>
    <row r="26" spans="10:18">
      <c r="J26" s="34"/>
      <c r="K26" s="16"/>
      <c r="L26" s="16"/>
      <c r="M26" s="29"/>
      <c r="N26" s="38"/>
      <c r="O26" s="41"/>
      <c r="P26" s="38"/>
      <c r="Q26" s="38"/>
      <c r="R26" s="39"/>
    </row>
    <row r="27" spans="10:18">
      <c r="J27" s="42"/>
      <c r="K27" s="38"/>
      <c r="L27" s="38"/>
      <c r="M27" s="38"/>
      <c r="N27" s="38"/>
      <c r="O27" s="41"/>
      <c r="P27" s="38"/>
      <c r="Q27" s="38"/>
      <c r="R27" s="39"/>
    </row>
    <row r="28" spans="10:18">
      <c r="J28" s="177" t="s">
        <v>53</v>
      </c>
      <c r="K28" s="176"/>
      <c r="L28" s="176"/>
      <c r="M28" s="176"/>
      <c r="N28" s="176"/>
      <c r="O28" s="176"/>
      <c r="P28" s="176"/>
      <c r="Q28" s="176"/>
      <c r="R28" s="188"/>
    </row>
    <row r="29" spans="10:18">
      <c r="J29" s="191" t="s">
        <v>106</v>
      </c>
      <c r="K29" s="176"/>
      <c r="L29" s="176"/>
      <c r="M29" s="176"/>
      <c r="N29" s="176"/>
      <c r="O29" s="176"/>
      <c r="P29" s="176"/>
      <c r="Q29" s="176"/>
      <c r="R29" s="188"/>
    </row>
    <row r="30" spans="10:18">
      <c r="J30" s="7"/>
      <c r="K30" s="16"/>
      <c r="L30" s="16"/>
      <c r="M30" s="16"/>
      <c r="N30" s="38"/>
      <c r="O30" s="38"/>
      <c r="P30" s="38"/>
      <c r="Q30" s="38"/>
      <c r="R30" s="39"/>
    </row>
    <row r="31" spans="10:18">
      <c r="J31" s="7"/>
      <c r="K31" s="16"/>
      <c r="L31" s="16"/>
      <c r="M31" s="16"/>
      <c r="N31" s="51"/>
      <c r="O31" s="110"/>
      <c r="P31" s="110"/>
      <c r="Q31" s="110"/>
      <c r="R31" s="111"/>
    </row>
    <row r="32" spans="10:18">
      <c r="J32" s="7"/>
      <c r="K32" s="16"/>
      <c r="L32" s="16"/>
      <c r="M32" s="16"/>
      <c r="N32" s="110"/>
      <c r="O32" s="110"/>
      <c r="P32" s="110"/>
      <c r="Q32" s="110"/>
      <c r="R32" s="111"/>
    </row>
    <row r="33" spans="10:18">
      <c r="J33" s="7"/>
      <c r="K33" s="16"/>
      <c r="L33" s="16"/>
      <c r="M33" s="16"/>
      <c r="N33" s="29"/>
      <c r="O33" s="30"/>
      <c r="P33" s="29"/>
      <c r="Q33" s="29"/>
      <c r="R33" s="32"/>
    </row>
    <row r="34" spans="10:18">
      <c r="J34" s="7"/>
      <c r="K34" s="16"/>
      <c r="L34" s="16"/>
      <c r="M34" s="16"/>
      <c r="N34" s="29"/>
      <c r="O34" s="30"/>
      <c r="P34" s="29"/>
      <c r="Q34" s="29"/>
      <c r="R34" s="32"/>
    </row>
    <row r="35" spans="10:18">
      <c r="J35" s="7"/>
      <c r="K35" s="16"/>
      <c r="L35" s="16">
        <f>+(L15*10^3*(L24)^2)/(1025.9*(L16)^4)</f>
        <v>0.27597917011383349</v>
      </c>
      <c r="M35" s="29"/>
      <c r="N35" s="29"/>
      <c r="O35" s="30"/>
      <c r="P35" s="29"/>
      <c r="Q35" s="29"/>
      <c r="R35" s="32"/>
    </row>
    <row r="36" spans="10:18">
      <c r="J36" s="177"/>
      <c r="K36" s="176"/>
      <c r="L36" s="29"/>
      <c r="M36" s="35"/>
      <c r="N36" s="68"/>
      <c r="O36" s="16"/>
      <c r="P36" s="29"/>
      <c r="Q36" s="29"/>
      <c r="R36" s="32"/>
    </row>
    <row r="37" spans="10:18">
      <c r="J37" s="34"/>
      <c r="K37" s="35"/>
      <c r="L37" s="29"/>
      <c r="M37" s="29"/>
      <c r="N37" s="47"/>
      <c r="O37" s="30"/>
      <c r="P37" s="29"/>
      <c r="Q37" s="29"/>
      <c r="R37" s="32"/>
    </row>
    <row r="38" spans="10:18">
      <c r="J38" s="132" t="s">
        <v>65</v>
      </c>
      <c r="K38" s="133">
        <v>0.4</v>
      </c>
      <c r="L38" s="133">
        <f>+K38+0.1</f>
        <v>0.5</v>
      </c>
      <c r="M38" s="133">
        <f t="shared" ref="M38:Q38" si="0">+L38+0.1</f>
        <v>0.6</v>
      </c>
      <c r="N38" s="133">
        <f t="shared" si="0"/>
        <v>0.7</v>
      </c>
      <c r="O38" s="133">
        <f t="shared" si="0"/>
        <v>0.79999999999999993</v>
      </c>
      <c r="P38" s="133">
        <f t="shared" si="0"/>
        <v>0.89999999999999991</v>
      </c>
      <c r="Q38" s="133">
        <f t="shared" si="0"/>
        <v>0.99999999999999989</v>
      </c>
      <c r="R38" s="32"/>
    </row>
    <row r="39" spans="10:18">
      <c r="J39" s="132" t="s">
        <v>110</v>
      </c>
      <c r="K39" s="134">
        <f>+$L$35*K38^4</f>
        <v>7.0650667549141408E-3</v>
      </c>
      <c r="L39" s="134">
        <f t="shared" ref="L39:Q39" si="1">+$L$35*L38^4</f>
        <v>1.7248698132114593E-2</v>
      </c>
      <c r="M39" s="134">
        <f t="shared" si="1"/>
        <v>3.576690044675282E-2</v>
      </c>
      <c r="N39" s="134">
        <f t="shared" si="1"/>
        <v>6.6262598744331408E-2</v>
      </c>
      <c r="O39" s="134">
        <f t="shared" si="1"/>
        <v>0.11304106807862616</v>
      </c>
      <c r="P39" s="134">
        <f t="shared" si="1"/>
        <v>0.18106993351168607</v>
      </c>
      <c r="Q39" s="134">
        <f t="shared" si="1"/>
        <v>0.27597917011383338</v>
      </c>
      <c r="R39" s="32"/>
    </row>
    <row r="40" spans="10:18">
      <c r="J40" s="7"/>
      <c r="K40" s="16"/>
      <c r="L40" s="16"/>
      <c r="M40" s="35"/>
      <c r="N40" s="74"/>
      <c r="O40" s="16"/>
      <c r="P40" s="29"/>
      <c r="Q40" s="29"/>
      <c r="R40" s="32"/>
    </row>
    <row r="41" spans="10:18">
      <c r="J41" s="7" t="s">
        <v>57</v>
      </c>
      <c r="K41" s="16"/>
      <c r="L41" s="16"/>
      <c r="M41" s="16"/>
      <c r="N41" s="16"/>
      <c r="O41" s="16"/>
      <c r="P41" s="12"/>
      <c r="Q41" s="12"/>
      <c r="R41" s="33"/>
    </row>
    <row r="42" spans="10:18">
      <c r="J42" s="132" t="s">
        <v>91</v>
      </c>
      <c r="K42" s="35">
        <f>+Kt!D37</f>
        <v>0.6</v>
      </c>
      <c r="L42" s="35">
        <f>+Kt!E37</f>
        <v>0.7</v>
      </c>
      <c r="M42" s="35">
        <f>+Kt!F37</f>
        <v>0.79999999999999993</v>
      </c>
      <c r="N42" s="35">
        <f>+Kt!G37</f>
        <v>0.89999999999999991</v>
      </c>
      <c r="O42" s="35">
        <f>+Kt!H37</f>
        <v>0.99999999999999989</v>
      </c>
      <c r="P42" s="35">
        <f>+Kt!I37</f>
        <v>1.0999999999999999</v>
      </c>
      <c r="Q42" s="35">
        <f>+Kt!J37</f>
        <v>1.2</v>
      </c>
      <c r="R42" s="39"/>
    </row>
    <row r="43" spans="10:18">
      <c r="J43" s="132" t="s">
        <v>65</v>
      </c>
      <c r="K43" s="35">
        <f>+Kt!D38</f>
        <v>0.56227584294993593</v>
      </c>
      <c r="L43" s="35">
        <f>+Kt!E38</f>
        <v>0.60883218829421581</v>
      </c>
      <c r="M43" s="35">
        <f>+Kt!F38</f>
        <v>0.64968911150530528</v>
      </c>
      <c r="N43" s="35">
        <f>+Kt!G38</f>
        <v>0.68678571881148431</v>
      </c>
      <c r="O43" s="35">
        <f>+Kt!H38</f>
        <v>0.72116500779892934</v>
      </c>
      <c r="P43" s="35">
        <f>+Kt!I38</f>
        <v>0.75327978110701466</v>
      </c>
      <c r="Q43" s="35">
        <f>+Kt!J38</f>
        <v>0.78365296395835915</v>
      </c>
      <c r="R43" s="39"/>
    </row>
    <row r="44" spans="10:18">
      <c r="J44" s="132" t="s">
        <v>110</v>
      </c>
      <c r="K44" s="35">
        <f>+Kt!D39</f>
        <v>4.9770739616828846E-2</v>
      </c>
      <c r="L44" s="35">
        <f>+Kt!E39</f>
        <v>7.4808908591883383E-2</v>
      </c>
      <c r="M44" s="35">
        <f>+Kt!F39</f>
        <v>0.10345906695803805</v>
      </c>
      <c r="N44" s="35">
        <f>+Kt!G39</f>
        <v>0.13487890445321746</v>
      </c>
      <c r="O44" s="35">
        <f>+Kt!H39</f>
        <v>0.16859139607680679</v>
      </c>
      <c r="P44" s="35">
        <f>+Kt!I39</f>
        <v>0.20407571490215581</v>
      </c>
      <c r="Q44" s="35">
        <f>+Kt!J39</f>
        <v>0.24118413465455868</v>
      </c>
      <c r="R44" s="39"/>
    </row>
    <row r="45" spans="10:18">
      <c r="J45" s="132" t="s">
        <v>114</v>
      </c>
      <c r="K45" s="35">
        <f>+Kt!D40</f>
        <v>7.8876490348875422E-2</v>
      </c>
      <c r="L45" s="35">
        <f>+Kt!E40</f>
        <v>0.11553120712513013</v>
      </c>
      <c r="M45" s="35">
        <f>+Kt!F40</f>
        <v>0.16155730957831552</v>
      </c>
      <c r="N45" s="35">
        <f>+Kt!G40</f>
        <v>0.2182960689982329</v>
      </c>
      <c r="O45" s="35">
        <f>+Kt!H40</f>
        <v>0.28466818023485413</v>
      </c>
      <c r="P45" s="35">
        <f>+Kt!I40</f>
        <v>0.36150749965372464</v>
      </c>
      <c r="Q45" s="35">
        <f>+Kt!J40</f>
        <v>0.44935443193164948</v>
      </c>
      <c r="R45" s="39"/>
    </row>
    <row r="46" spans="10:18">
      <c r="J46" s="132" t="s">
        <v>115</v>
      </c>
      <c r="K46" s="35">
        <f>+Kt!D41</f>
        <v>0.56467176617985093</v>
      </c>
      <c r="L46" s="35">
        <f>+Kt!E41</f>
        <v>0.62743933881656466</v>
      </c>
      <c r="M46" s="35">
        <f>+Kt!F41</f>
        <v>0.66216720093239578</v>
      </c>
      <c r="N46" s="35">
        <f>+Kt!G41</f>
        <v>0.6753664803337831</v>
      </c>
      <c r="O46" s="35">
        <f>+Kt!H41</f>
        <v>0.67975319783205379</v>
      </c>
      <c r="P46" s="35">
        <f>+Kt!I41</f>
        <v>0.67678458368002048</v>
      </c>
      <c r="Q46" s="35">
        <f>+Kt!J41</f>
        <v>0.66942760734555717</v>
      </c>
      <c r="R46" s="39"/>
    </row>
    <row r="47" spans="10:18">
      <c r="J47" s="42"/>
      <c r="K47" s="38"/>
      <c r="L47" s="43"/>
      <c r="M47" s="43"/>
      <c r="N47" s="43"/>
      <c r="O47" s="43"/>
      <c r="P47" s="43"/>
      <c r="Q47" s="43"/>
      <c r="R47" s="39"/>
    </row>
    <row r="48" spans="10:18">
      <c r="J48" s="131" t="s">
        <v>116</v>
      </c>
      <c r="K48" s="38"/>
      <c r="L48" s="38"/>
      <c r="M48" s="38"/>
      <c r="N48" s="55" t="s">
        <v>73</v>
      </c>
      <c r="O48" s="38">
        <f>+Kt!Z71</f>
        <v>0.73518499999999998</v>
      </c>
      <c r="P48" s="38"/>
      <c r="Q48" s="38"/>
      <c r="R48" s="39"/>
    </row>
    <row r="49" spans="10:18">
      <c r="J49" s="42"/>
      <c r="K49" s="38"/>
      <c r="L49" s="38"/>
      <c r="M49" s="38"/>
      <c r="N49" s="38"/>
      <c r="O49" s="38"/>
      <c r="P49" s="38"/>
      <c r="Q49" s="38"/>
      <c r="R49" s="39"/>
    </row>
    <row r="50" spans="10:18">
      <c r="J50" s="36"/>
      <c r="K50" s="38"/>
      <c r="L50" s="55" t="s">
        <v>74</v>
      </c>
      <c r="M50" s="38">
        <f>+L16/(L24*O48)</f>
        <v>0.45863182092161303</v>
      </c>
      <c r="N50" s="38"/>
      <c r="O50" s="38"/>
      <c r="P50" s="38"/>
      <c r="Q50" s="38"/>
      <c r="R50" s="39"/>
    </row>
    <row r="51" spans="10:18">
      <c r="J51" s="36"/>
      <c r="K51" s="38"/>
      <c r="L51" s="38"/>
      <c r="M51" s="38"/>
      <c r="N51" s="38"/>
      <c r="O51" s="38"/>
      <c r="P51" s="38"/>
      <c r="Q51" s="38"/>
      <c r="R51" s="39"/>
    </row>
    <row r="52" spans="10:18">
      <c r="J52" s="59"/>
      <c r="K52" s="60"/>
      <c r="L52" s="60"/>
      <c r="M52" s="60"/>
      <c r="N52" s="60"/>
      <c r="O52" s="60"/>
      <c r="P52" s="60"/>
      <c r="Q52" s="60"/>
      <c r="R52" s="61"/>
    </row>
    <row r="53" spans="10:18">
      <c r="J53" s="152" t="s">
        <v>7</v>
      </c>
      <c r="K53" s="174"/>
      <c r="L53" s="175"/>
      <c r="M53" s="152" t="s">
        <v>8</v>
      </c>
      <c r="N53" s="174"/>
      <c r="O53" s="175"/>
      <c r="P53" s="152" t="s">
        <v>9</v>
      </c>
      <c r="Q53" s="153"/>
      <c r="R53" s="154"/>
    </row>
    <row r="54" spans="10:18">
      <c r="J54" s="171" t="s">
        <v>0</v>
      </c>
      <c r="K54" s="172"/>
      <c r="L54" s="173"/>
      <c r="M54" s="171"/>
      <c r="N54" s="172"/>
      <c r="O54" s="173"/>
      <c r="P54" s="15"/>
      <c r="Q54" s="16"/>
      <c r="R54" s="17">
        <v>0</v>
      </c>
    </row>
    <row r="55" spans="10:18">
      <c r="J55" s="18" t="s">
        <v>10</v>
      </c>
      <c r="K55" s="19"/>
      <c r="L55" s="20"/>
      <c r="M55" s="152"/>
      <c r="N55" s="153"/>
      <c r="O55" s="154"/>
      <c r="P55" s="21" t="s">
        <v>11</v>
      </c>
      <c r="Q55" s="22"/>
      <c r="R55" s="104"/>
    </row>
    <row r="56" spans="10:18">
      <c r="J56" s="105">
        <v>39825</v>
      </c>
      <c r="K56" s="24"/>
      <c r="L56" s="25"/>
      <c r="M56" s="155"/>
      <c r="N56" s="156"/>
      <c r="O56" s="157"/>
      <c r="P56" s="26"/>
      <c r="Q56" s="24"/>
      <c r="R56" s="27" t="s">
        <v>61</v>
      </c>
    </row>
  </sheetData>
  <mergeCells count="14">
    <mergeCell ref="J54:L54"/>
    <mergeCell ref="M54:O54"/>
    <mergeCell ref="M55:O55"/>
    <mergeCell ref="M56:O56"/>
    <mergeCell ref="J28:R28"/>
    <mergeCell ref="J29:R29"/>
    <mergeCell ref="J1:R1"/>
    <mergeCell ref="J2:R2"/>
    <mergeCell ref="J36:K36"/>
    <mergeCell ref="J53:L53"/>
    <mergeCell ref="M53:O53"/>
    <mergeCell ref="P53:R53"/>
    <mergeCell ref="J7:R7"/>
    <mergeCell ref="J8:R8"/>
  </mergeCells>
  <phoneticPr fontId="0" type="noConversion"/>
  <pageMargins left="0.75" right="0.75" top="1" bottom="1" header="0.5" footer="0.5"/>
  <pageSetup paperSize="9" orientation="portrait" r:id="rId1"/>
  <headerFooter alignWithMargins="0"/>
  <legacyDrawing r:id="rId2"/>
  <oleObjects>
    <oleObject progId="Equation.DSMT4" shapeId="3073" r:id="rId3"/>
    <oleObject progId="Equation.DSMT4" shapeId="3074" r:id="rId4"/>
    <oleObject progId="Equation.DSMT4" shapeId="3075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09"/>
  <sheetViews>
    <sheetView topLeftCell="N55" workbookViewId="0">
      <selection activeCell="Y70" sqref="Y70:Y71"/>
    </sheetView>
  </sheetViews>
  <sheetFormatPr defaultRowHeight="12.75"/>
  <cols>
    <col min="28" max="28" width="6.5703125" bestFit="1" customWidth="1"/>
  </cols>
  <sheetData>
    <row r="2" spans="1:31">
      <c r="A2" s="130" t="s">
        <v>112</v>
      </c>
    </row>
    <row r="4" spans="1:31">
      <c r="A4" s="192" t="s">
        <v>107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</row>
    <row r="5" spans="1:31">
      <c r="A5" s="193" t="s">
        <v>108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</row>
    <row r="7" spans="1:31" ht="15.75">
      <c r="A7" s="126" t="s">
        <v>109</v>
      </c>
      <c r="B7" s="194">
        <v>0.5</v>
      </c>
      <c r="C7" s="194"/>
      <c r="D7" s="194"/>
      <c r="E7" s="194">
        <v>0.6</v>
      </c>
      <c r="F7" s="194"/>
      <c r="G7" s="194"/>
      <c r="H7" s="194">
        <v>0.7</v>
      </c>
      <c r="I7" s="194"/>
      <c r="J7" s="194"/>
      <c r="K7" s="194">
        <v>0.8</v>
      </c>
      <c r="L7" s="194"/>
      <c r="M7" s="194"/>
      <c r="N7" s="194">
        <v>0.9</v>
      </c>
      <c r="O7" s="194"/>
      <c r="P7" s="194"/>
      <c r="Q7" s="195">
        <v>1</v>
      </c>
      <c r="R7" s="195"/>
      <c r="S7" s="195"/>
      <c r="T7" s="194">
        <v>1.1000000000000001</v>
      </c>
      <c r="U7" s="194"/>
      <c r="V7" s="194"/>
      <c r="W7" s="194">
        <v>1.2</v>
      </c>
      <c r="X7" s="194"/>
      <c r="Y7" s="194"/>
      <c r="Z7" s="194">
        <v>1.3</v>
      </c>
      <c r="AA7" s="194"/>
      <c r="AB7" s="194"/>
      <c r="AC7" s="194">
        <v>1.4</v>
      </c>
      <c r="AD7" s="194"/>
      <c r="AE7" s="194"/>
    </row>
    <row r="8" spans="1:31" ht="15.75">
      <c r="A8" s="126" t="s">
        <v>65</v>
      </c>
      <c r="B8" s="127" t="s">
        <v>110</v>
      </c>
      <c r="C8" s="127" t="s">
        <v>111</v>
      </c>
      <c r="D8" s="127" t="s">
        <v>117</v>
      </c>
      <c r="E8" s="127" t="s">
        <v>110</v>
      </c>
      <c r="F8" s="127" t="s">
        <v>111</v>
      </c>
      <c r="G8" s="127" t="s">
        <v>117</v>
      </c>
      <c r="H8" s="127" t="s">
        <v>110</v>
      </c>
      <c r="I8" s="127" t="s">
        <v>111</v>
      </c>
      <c r="J8" s="127" t="s">
        <v>117</v>
      </c>
      <c r="K8" s="127" t="s">
        <v>110</v>
      </c>
      <c r="L8" s="127" t="s">
        <v>111</v>
      </c>
      <c r="M8" s="127" t="s">
        <v>117</v>
      </c>
      <c r="N8" s="127" t="s">
        <v>110</v>
      </c>
      <c r="O8" s="127" t="s">
        <v>111</v>
      </c>
      <c r="P8" s="127" t="s">
        <v>117</v>
      </c>
      <c r="Q8" s="127" t="s">
        <v>110</v>
      </c>
      <c r="R8" s="127" t="s">
        <v>111</v>
      </c>
      <c r="S8" s="127" t="s">
        <v>117</v>
      </c>
      <c r="T8" s="127" t="s">
        <v>110</v>
      </c>
      <c r="U8" s="127" t="s">
        <v>111</v>
      </c>
      <c r="V8" s="127" t="s">
        <v>117</v>
      </c>
      <c r="W8" s="127" t="s">
        <v>110</v>
      </c>
      <c r="X8" s="127" t="s">
        <v>111</v>
      </c>
      <c r="Y8" s="127" t="s">
        <v>117</v>
      </c>
      <c r="Z8" s="127" t="s">
        <v>110</v>
      </c>
      <c r="AA8" s="127" t="s">
        <v>111</v>
      </c>
      <c r="AB8" s="127" t="s">
        <v>117</v>
      </c>
      <c r="AC8" s="127" t="s">
        <v>110</v>
      </c>
      <c r="AD8" s="127" t="s">
        <v>111</v>
      </c>
      <c r="AE8" s="127" t="s">
        <v>117</v>
      </c>
    </row>
    <row r="9" spans="1:31">
      <c r="A9" s="128">
        <v>0</v>
      </c>
      <c r="B9" s="129">
        <v>0.2044</v>
      </c>
      <c r="C9" s="129">
        <v>0.18260000000000001</v>
      </c>
      <c r="D9" s="129">
        <f>+(B9/(C9/10))*(A9/(2*PI()))</f>
        <v>0</v>
      </c>
      <c r="E9" s="129">
        <v>0.25169999999999998</v>
      </c>
      <c r="F9" s="129">
        <v>0.2455</v>
      </c>
      <c r="G9" s="129">
        <f>+(E9/(F9/10))*(A9/(2*PI()))</f>
        <v>0</v>
      </c>
      <c r="H9" s="129">
        <v>0.2974</v>
      </c>
      <c r="I9" s="129">
        <v>0.31869999999999998</v>
      </c>
      <c r="J9" s="129">
        <f>+(H9/(I9/10))*(A9/(2*PI()))</f>
        <v>0</v>
      </c>
      <c r="K9" s="129">
        <v>0.34150000000000003</v>
      </c>
      <c r="L9" s="129">
        <v>0.40210000000000001</v>
      </c>
      <c r="M9" s="129">
        <f>+(K9/(L9/10))*(A9/(2*PI()))</f>
        <v>0</v>
      </c>
      <c r="N9" s="129">
        <v>0.38400000000000001</v>
      </c>
      <c r="O9" s="129">
        <v>0.49559999999999998</v>
      </c>
      <c r="P9" s="129">
        <f>+(N9/(O9/10))*(A9/(2*PI()))</f>
        <v>0</v>
      </c>
      <c r="Q9" s="129">
        <v>0.42499999999999999</v>
      </c>
      <c r="R9" s="129">
        <v>0.59940000000000004</v>
      </c>
      <c r="S9" s="129">
        <f>+(Q9/(R9/10))*(A9/(2*PI()))</f>
        <v>0</v>
      </c>
      <c r="T9" s="129">
        <v>0.46439999999999998</v>
      </c>
      <c r="U9" s="129">
        <v>0.71330000000000005</v>
      </c>
      <c r="V9" s="129">
        <f>+(T9/(U9/10))*(A9/(2*PI()))</f>
        <v>0</v>
      </c>
      <c r="W9" s="129">
        <v>0.50219999999999998</v>
      </c>
      <c r="X9" s="129">
        <v>0.83740000000000003</v>
      </c>
      <c r="Y9" s="129">
        <f>+(W9/(X9/10))*(A9/(2*PI()))</f>
        <v>0</v>
      </c>
      <c r="Z9" s="129">
        <v>0.53839999999999999</v>
      </c>
      <c r="AA9" s="129">
        <v>0.97170000000000001</v>
      </c>
      <c r="AB9" s="129">
        <f>+(Z9/(AA9/10))*(A9/(2*PI()))</f>
        <v>0</v>
      </c>
      <c r="AC9" s="129">
        <v>0.57299999999999995</v>
      </c>
      <c r="AD9" s="129">
        <v>1.1161000000000001</v>
      </c>
      <c r="AE9" s="129">
        <f>+(AC9/(AD9/10))*(A9/(2*PI()))</f>
        <v>0</v>
      </c>
    </row>
    <row r="10" spans="1:31">
      <c r="A10" s="128">
        <f>+A9+0.1</f>
        <v>0.1</v>
      </c>
      <c r="B10" s="129">
        <v>0.17949999999999999</v>
      </c>
      <c r="C10" s="129">
        <v>0.16420000000000001</v>
      </c>
      <c r="D10" s="129">
        <f t="shared" ref="D10:D14" si="0">+(B10/(C10/10))*(A10/(2*PI()))</f>
        <v>0.17398484948230944</v>
      </c>
      <c r="E10" s="129">
        <v>0.22539999999999999</v>
      </c>
      <c r="F10" s="129">
        <v>0.22470000000000001</v>
      </c>
      <c r="G10" s="129">
        <f t="shared" ref="G10:G15" si="1">+(E10/(F10/10))*(A10/(2*PI()))</f>
        <v>0.15965075288345887</v>
      </c>
      <c r="H10" s="129">
        <v>0.2702</v>
      </c>
      <c r="I10" s="129">
        <v>0.29559999999999997</v>
      </c>
      <c r="J10" s="129">
        <f t="shared" ref="J10:J16" si="2">+(H10/(I10/10))*(A10/(2*PI()))</f>
        <v>0.14547924771119797</v>
      </c>
      <c r="K10" s="129">
        <v>0.31140000000000001</v>
      </c>
      <c r="L10" s="129">
        <v>0.37669999999999998</v>
      </c>
      <c r="M10" s="129">
        <f t="shared" ref="M10:M17" si="3">+(K10/(L10/10))*(A10/(2*PI()))</f>
        <v>0.13156583296739108</v>
      </c>
      <c r="N10" s="129">
        <v>0.35670000000000002</v>
      </c>
      <c r="O10" s="129">
        <v>0.46810000000000002</v>
      </c>
      <c r="P10" s="129">
        <f t="shared" ref="P10:P18" si="4">+(N10/(O10/10))*(A10/(2*PI()))</f>
        <v>0.12127871865173907</v>
      </c>
      <c r="Q10" s="129">
        <v>0.39839999999999998</v>
      </c>
      <c r="R10" s="129">
        <v>0.56979999999999997</v>
      </c>
      <c r="S10" s="129">
        <f t="shared" ref="S10:S19" si="5">+(Q10/(R10/10))*(A10/(2*PI()))</f>
        <v>0.11127997425028274</v>
      </c>
      <c r="T10" s="129">
        <v>0.43909999999999999</v>
      </c>
      <c r="U10" s="129">
        <v>0.68179999999999996</v>
      </c>
      <c r="V10" s="129">
        <f t="shared" ref="V10:V20" si="6">+(T10/(U10/10))*(A10/(2*PI()))</f>
        <v>0.10250063876745563</v>
      </c>
      <c r="W10" s="129">
        <v>0.47870000000000001</v>
      </c>
      <c r="X10" s="129">
        <v>0.80400000000000005</v>
      </c>
      <c r="Y10" s="129">
        <f t="shared" ref="Y10:Y21" si="7">+(W10/(X10/10))*(A10/(2*PI()))</f>
        <v>9.476053639065958E-2</v>
      </c>
      <c r="Z10" s="129">
        <v>0.51729999999999998</v>
      </c>
      <c r="AA10" s="129">
        <v>0.93659999999999999</v>
      </c>
      <c r="AB10" s="129">
        <f t="shared" ref="AB10:AB22" si="8">+(Z10/(AA10/10))*(A10/(2*PI()))</f>
        <v>8.7903963337003482E-2</v>
      </c>
      <c r="AC10" s="129">
        <v>0.55479999999999996</v>
      </c>
      <c r="AD10" s="129">
        <v>1.0793999999999999</v>
      </c>
      <c r="AE10" s="129">
        <f t="shared" ref="AE10:AE23" si="9">+(AC10/(AD10/10))*(A10/(2*PI()))</f>
        <v>8.1803930357034954E-2</v>
      </c>
    </row>
    <row r="11" spans="1:31">
      <c r="A11" s="128">
        <f t="shared" ref="A11:A23" si="10">+A10+0.1</f>
        <v>0.2</v>
      </c>
      <c r="B11" s="129">
        <v>0.14990000000000001</v>
      </c>
      <c r="C11" s="129">
        <v>0.14230000000000001</v>
      </c>
      <c r="D11" s="129">
        <f t="shared" si="0"/>
        <v>0.33531027363984695</v>
      </c>
      <c r="E11" s="129">
        <v>0.19489999999999999</v>
      </c>
      <c r="F11" s="129">
        <v>0.2001</v>
      </c>
      <c r="G11" s="129">
        <f t="shared" si="1"/>
        <v>0.31003796510355219</v>
      </c>
      <c r="H11" s="129">
        <v>0.23930000000000001</v>
      </c>
      <c r="I11" s="129">
        <v>0.26840000000000003</v>
      </c>
      <c r="J11" s="129">
        <f t="shared" si="2"/>
        <v>0.28379864293510099</v>
      </c>
      <c r="K11" s="129">
        <v>0.28310000000000002</v>
      </c>
      <c r="L11" s="129">
        <v>0.34710000000000002</v>
      </c>
      <c r="M11" s="129">
        <f t="shared" si="3"/>
        <v>0.25961834854114413</v>
      </c>
      <c r="N11" s="129">
        <v>0.32629999999999998</v>
      </c>
      <c r="O11" s="129">
        <v>0.43619999999999998</v>
      </c>
      <c r="P11" s="129">
        <f t="shared" si="4"/>
        <v>0.23811214090273017</v>
      </c>
      <c r="Q11" s="129">
        <v>0.36890000000000001</v>
      </c>
      <c r="R11" s="129">
        <v>0.53569999999999995</v>
      </c>
      <c r="S11" s="129">
        <f t="shared" si="5"/>
        <v>0.21919827704536196</v>
      </c>
      <c r="T11" s="129">
        <v>0.41089999999999999</v>
      </c>
      <c r="U11" s="129">
        <v>0.64559999999999995</v>
      </c>
      <c r="V11" s="129">
        <f t="shared" si="6"/>
        <v>0.20259221225669083</v>
      </c>
      <c r="W11" s="129">
        <v>0.45229999999999998</v>
      </c>
      <c r="X11" s="129">
        <v>0.76590000000000003</v>
      </c>
      <c r="Y11" s="129">
        <f t="shared" si="7"/>
        <v>0.18797697025842605</v>
      </c>
      <c r="Z11" s="129">
        <v>0.49309999999999998</v>
      </c>
      <c r="AA11" s="129">
        <v>0.89670000000000005</v>
      </c>
      <c r="AB11" s="129">
        <f t="shared" si="8"/>
        <v>0.17504026416552601</v>
      </c>
      <c r="AC11" s="129">
        <v>0.5333</v>
      </c>
      <c r="AD11" s="129">
        <v>1.0378000000000001</v>
      </c>
      <c r="AE11" s="129">
        <f t="shared" si="9"/>
        <v>0.16357165378860622</v>
      </c>
    </row>
    <row r="12" spans="1:31">
      <c r="A12" s="128">
        <f t="shared" si="10"/>
        <v>0.30000000000000004</v>
      </c>
      <c r="B12" s="129">
        <v>0.11559999999999999</v>
      </c>
      <c r="C12" s="129">
        <v>0.1168</v>
      </c>
      <c r="D12" s="129">
        <f t="shared" si="0"/>
        <v>0.4725593687009359</v>
      </c>
      <c r="E12" s="129">
        <v>0.1603</v>
      </c>
      <c r="F12" s="129">
        <v>0.17180000000000001</v>
      </c>
      <c r="G12" s="129">
        <f t="shared" si="1"/>
        <v>0.44550414512743008</v>
      </c>
      <c r="H12" s="129">
        <v>0.20469999999999999</v>
      </c>
      <c r="I12" s="129">
        <v>0.23730000000000001</v>
      </c>
      <c r="J12" s="129">
        <f t="shared" si="2"/>
        <v>0.41187126233768623</v>
      </c>
      <c r="K12" s="129">
        <v>0.24890000000000001</v>
      </c>
      <c r="L12" s="129">
        <v>0.31330000000000002</v>
      </c>
      <c r="M12" s="129">
        <f t="shared" si="3"/>
        <v>0.37932012769460027</v>
      </c>
      <c r="N12" s="129">
        <v>0.29289999999999999</v>
      </c>
      <c r="O12" s="129">
        <v>0.39989999999999998</v>
      </c>
      <c r="P12" s="129">
        <f t="shared" si="4"/>
        <v>0.34971104899937105</v>
      </c>
      <c r="Q12" s="129">
        <v>0.33650000000000002</v>
      </c>
      <c r="R12" s="129">
        <v>0.49709999999999999</v>
      </c>
      <c r="S12" s="129">
        <f t="shared" si="5"/>
        <v>0.32320843904902113</v>
      </c>
      <c r="T12" s="129">
        <v>0.37990000000000002</v>
      </c>
      <c r="U12" s="129">
        <v>0.6048</v>
      </c>
      <c r="V12" s="129">
        <f t="shared" si="6"/>
        <v>0.2999154904792215</v>
      </c>
      <c r="W12" s="129">
        <v>0.42309999999999998</v>
      </c>
      <c r="X12" s="129">
        <v>0.72309999999999997</v>
      </c>
      <c r="Y12" s="129">
        <f t="shared" si="7"/>
        <v>0.27937404130347504</v>
      </c>
      <c r="Z12" s="129">
        <v>0.46589999999999998</v>
      </c>
      <c r="AA12" s="129">
        <v>0.85199999999999998</v>
      </c>
      <c r="AB12" s="129">
        <f t="shared" si="8"/>
        <v>0.26109256333279596</v>
      </c>
      <c r="AC12" s="129">
        <v>0.50860000000000005</v>
      </c>
      <c r="AD12" s="129">
        <v>0.99150000000000005</v>
      </c>
      <c r="AE12" s="129">
        <f t="shared" si="9"/>
        <v>0.24492043587454762</v>
      </c>
    </row>
    <row r="13" spans="1:31">
      <c r="A13" s="128">
        <f t="shared" si="10"/>
        <v>0.4</v>
      </c>
      <c r="B13" s="129">
        <v>7.6499999999999999E-2</v>
      </c>
      <c r="C13" s="129">
        <v>8.7900000000000006E-2</v>
      </c>
      <c r="D13" s="129">
        <f t="shared" si="0"/>
        <v>0.55405475069533527</v>
      </c>
      <c r="E13" s="129">
        <v>0.1215</v>
      </c>
      <c r="F13" s="129">
        <v>0.13689999999999999</v>
      </c>
      <c r="G13" s="129">
        <f t="shared" si="1"/>
        <v>0.56500586079372639</v>
      </c>
      <c r="H13" s="129">
        <v>0.16650000000000001</v>
      </c>
      <c r="I13" s="129">
        <v>0.2021</v>
      </c>
      <c r="J13" s="129">
        <f t="shared" si="2"/>
        <v>0.52447893171302484</v>
      </c>
      <c r="K13" s="129">
        <v>0.21149999999999999</v>
      </c>
      <c r="L13" s="129">
        <v>0.27529999999999999</v>
      </c>
      <c r="M13" s="129">
        <f t="shared" si="3"/>
        <v>0.48908493227658356</v>
      </c>
      <c r="N13" s="129">
        <v>0.25640000000000002</v>
      </c>
      <c r="O13" s="129">
        <v>0.35930000000000001</v>
      </c>
      <c r="P13" s="129">
        <f t="shared" si="4"/>
        <v>0.45429810641538509</v>
      </c>
      <c r="Q13" s="129">
        <v>0.30130000000000001</v>
      </c>
      <c r="R13" s="129">
        <v>0.45400000000000001</v>
      </c>
      <c r="S13" s="129">
        <f t="shared" si="5"/>
        <v>0.42249677844570982</v>
      </c>
      <c r="T13" s="129">
        <v>0.34610000000000002</v>
      </c>
      <c r="U13" s="129">
        <v>0.55940000000000001</v>
      </c>
      <c r="V13" s="129">
        <f t="shared" si="6"/>
        <v>0.39387576549234876</v>
      </c>
      <c r="W13" s="129">
        <v>0.39100000000000001</v>
      </c>
      <c r="X13" s="129">
        <v>0.67569999999999997</v>
      </c>
      <c r="Y13" s="129">
        <f t="shared" si="7"/>
        <v>0.36838586798242468</v>
      </c>
      <c r="Z13" s="129">
        <v>0.43580000000000002</v>
      </c>
      <c r="AA13" s="129">
        <v>0.80259999999999998</v>
      </c>
      <c r="AB13" s="129">
        <f t="shared" si="8"/>
        <v>0.34567517667305253</v>
      </c>
      <c r="AC13" s="129">
        <v>0.48049999999999998</v>
      </c>
      <c r="AD13" s="129">
        <v>0.94030000000000002</v>
      </c>
      <c r="AE13" s="129">
        <f t="shared" si="9"/>
        <v>0.32531723984113881</v>
      </c>
    </row>
    <row r="14" spans="1:31">
      <c r="A14" s="128">
        <f t="shared" si="10"/>
        <v>0.5</v>
      </c>
      <c r="B14" s="129">
        <v>3.27E-2</v>
      </c>
      <c r="C14" s="129">
        <v>5.5300000000000002E-2</v>
      </c>
      <c r="D14" s="129">
        <f t="shared" si="0"/>
        <v>0.47055756230605583</v>
      </c>
      <c r="E14" s="129">
        <v>7.8600000000000003E-2</v>
      </c>
      <c r="F14" s="129">
        <v>0.1036</v>
      </c>
      <c r="G14" s="129">
        <f t="shared" si="1"/>
        <v>0.60374413740458377</v>
      </c>
      <c r="H14" s="129">
        <v>0.1246</v>
      </c>
      <c r="I14" s="129">
        <v>0.16289999999999999</v>
      </c>
      <c r="J14" s="129">
        <f t="shared" si="2"/>
        <v>0.60867728389349784</v>
      </c>
      <c r="K14" s="129">
        <v>0.17069999999999999</v>
      </c>
      <c r="L14" s="129">
        <v>0.2331</v>
      </c>
      <c r="M14" s="129">
        <f t="shared" si="3"/>
        <v>0.58274879420391534</v>
      </c>
      <c r="N14" s="129">
        <v>0.21690000000000001</v>
      </c>
      <c r="O14" s="129">
        <v>0.31430000000000002</v>
      </c>
      <c r="P14" s="129">
        <f t="shared" si="4"/>
        <v>0.54916810621431911</v>
      </c>
      <c r="Q14" s="129">
        <v>0.2631</v>
      </c>
      <c r="R14" s="129">
        <v>0.40639999999999998</v>
      </c>
      <c r="S14" s="129">
        <f t="shared" si="5"/>
        <v>0.51517797154869183</v>
      </c>
      <c r="T14" s="129">
        <v>0.3095</v>
      </c>
      <c r="U14" s="129">
        <v>0.50939999999999996</v>
      </c>
      <c r="V14" s="129">
        <f t="shared" si="6"/>
        <v>0.48349484576895968</v>
      </c>
      <c r="W14" s="129">
        <v>0.35599999999999998</v>
      </c>
      <c r="X14" s="129">
        <v>0.62339999999999995</v>
      </c>
      <c r="Y14" s="129">
        <f t="shared" si="7"/>
        <v>0.45443663571314358</v>
      </c>
      <c r="Z14" s="129">
        <v>0.40260000000000001</v>
      </c>
      <c r="AA14" s="129">
        <v>0.74839999999999995</v>
      </c>
      <c r="AB14" s="129">
        <f t="shared" si="8"/>
        <v>0.42808511550505801</v>
      </c>
      <c r="AC14" s="129">
        <v>0.44919999999999999</v>
      </c>
      <c r="AD14" s="129">
        <v>0.88429999999999997</v>
      </c>
      <c r="AE14" s="129">
        <f t="shared" si="9"/>
        <v>0.40423159808254772</v>
      </c>
    </row>
    <row r="15" spans="1:31">
      <c r="A15" s="128">
        <f t="shared" si="10"/>
        <v>0.6</v>
      </c>
      <c r="B15" s="129"/>
      <c r="C15" s="129"/>
      <c r="D15" s="129"/>
      <c r="E15" s="129">
        <v>3.15E-2</v>
      </c>
      <c r="F15" s="129">
        <v>6.3899999999999998E-2</v>
      </c>
      <c r="G15" s="129">
        <f t="shared" si="1"/>
        <v>0.47073997252532424</v>
      </c>
      <c r="H15" s="129">
        <v>7.9000000000000001E-2</v>
      </c>
      <c r="I15" s="129">
        <v>0.1197</v>
      </c>
      <c r="J15" s="129">
        <f t="shared" si="2"/>
        <v>0.63023761926113941</v>
      </c>
      <c r="K15" s="129">
        <v>0.12659999999999999</v>
      </c>
      <c r="L15" s="129">
        <v>0.1867</v>
      </c>
      <c r="M15" s="129">
        <f t="shared" si="3"/>
        <v>0.64753130569150341</v>
      </c>
      <c r="N15" s="129">
        <v>0.17430000000000001</v>
      </c>
      <c r="O15" s="129">
        <v>0.26490000000000002</v>
      </c>
      <c r="P15" s="129">
        <f t="shared" si="4"/>
        <v>0.62832857487921523</v>
      </c>
      <c r="Q15" s="129">
        <v>0.22209999999999999</v>
      </c>
      <c r="R15" s="129">
        <v>0.3543</v>
      </c>
      <c r="S15" s="129">
        <f t="shared" si="5"/>
        <v>0.59861664455054953</v>
      </c>
      <c r="T15" s="129">
        <v>0.27010000000000001</v>
      </c>
      <c r="U15" s="129">
        <v>0.45479999999999998</v>
      </c>
      <c r="V15" s="129">
        <f t="shared" si="6"/>
        <v>0.56712071410449771</v>
      </c>
      <c r="W15" s="129">
        <v>0.31809999999999999</v>
      </c>
      <c r="X15" s="129">
        <v>0.5665</v>
      </c>
      <c r="Y15" s="129">
        <f t="shared" si="7"/>
        <v>0.53621028135073501</v>
      </c>
      <c r="Z15" s="129">
        <v>0.36630000000000001</v>
      </c>
      <c r="AA15" s="129">
        <v>0.68940000000000001</v>
      </c>
      <c r="AB15" s="129">
        <f t="shared" si="8"/>
        <v>0.50738429638434512</v>
      </c>
      <c r="AC15" s="129">
        <v>0.41460000000000002</v>
      </c>
      <c r="AD15" s="129">
        <v>0.82350000000000001</v>
      </c>
      <c r="AE15" s="129">
        <f t="shared" si="9"/>
        <v>0.48076968601748488</v>
      </c>
    </row>
    <row r="16" spans="1:31">
      <c r="A16" s="128">
        <f t="shared" si="10"/>
        <v>0.7</v>
      </c>
      <c r="B16" s="129"/>
      <c r="C16" s="129"/>
      <c r="D16" s="129"/>
      <c r="E16" s="129"/>
      <c r="F16" s="129"/>
      <c r="G16" s="129"/>
      <c r="H16" s="129">
        <v>2.9700000000000001E-2</v>
      </c>
      <c r="I16" s="129">
        <v>7.2499999999999995E-2</v>
      </c>
      <c r="J16" s="129">
        <f t="shared" si="2"/>
        <v>0.45639051956972476</v>
      </c>
      <c r="K16" s="129">
        <v>7.9200000000000007E-2</v>
      </c>
      <c r="L16" s="129">
        <v>0.1361</v>
      </c>
      <c r="M16" s="129">
        <f t="shared" si="3"/>
        <v>0.64831374320460533</v>
      </c>
      <c r="N16" s="129">
        <v>0.12870000000000001</v>
      </c>
      <c r="O16" s="129">
        <v>0.2112</v>
      </c>
      <c r="P16" s="129">
        <f t="shared" si="4"/>
        <v>0.67889530412636612</v>
      </c>
      <c r="Q16" s="129">
        <v>0.1782</v>
      </c>
      <c r="R16" s="129">
        <v>0.29759999999999998</v>
      </c>
      <c r="S16" s="129">
        <f t="shared" si="5"/>
        <v>0.6671030780001016</v>
      </c>
      <c r="T16" s="129">
        <v>0.2278</v>
      </c>
      <c r="U16" s="129">
        <v>0.39550000000000002</v>
      </c>
      <c r="V16" s="129">
        <f t="shared" si="6"/>
        <v>0.64169019533334082</v>
      </c>
      <c r="W16" s="129">
        <v>0.27739999999999998</v>
      </c>
      <c r="X16" s="129">
        <v>0.50490000000000002</v>
      </c>
      <c r="Y16" s="129">
        <f t="shared" si="7"/>
        <v>0.61209560011060082</v>
      </c>
      <c r="Z16" s="129">
        <v>0.3271</v>
      </c>
      <c r="AA16" s="129">
        <v>0.62570000000000003</v>
      </c>
      <c r="AB16" s="129">
        <f t="shared" si="8"/>
        <v>0.5824150123022418</v>
      </c>
      <c r="AC16" s="129">
        <v>0.37680000000000002</v>
      </c>
      <c r="AD16" s="129">
        <v>0.75790000000000002</v>
      </c>
      <c r="AE16" s="129">
        <f t="shared" si="9"/>
        <v>0.55388188138169048</v>
      </c>
    </row>
    <row r="17" spans="1:31">
      <c r="A17" s="128">
        <f t="shared" si="10"/>
        <v>0.79999999999999993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>
        <v>2.8400000000000002E-2</v>
      </c>
      <c r="L17" s="129">
        <v>8.1299999999999997E-2</v>
      </c>
      <c r="M17" s="129">
        <f t="shared" si="3"/>
        <v>0.44477248549174198</v>
      </c>
      <c r="N17" s="129">
        <v>0.08</v>
      </c>
      <c r="O17" s="129">
        <v>0.153</v>
      </c>
      <c r="P17" s="129">
        <f t="shared" si="4"/>
        <v>0.66574616718178448</v>
      </c>
      <c r="Q17" s="129">
        <v>0.13139999999999999</v>
      </c>
      <c r="R17" s="129">
        <v>0.23649999999999999</v>
      </c>
      <c r="S17" s="129">
        <f t="shared" si="5"/>
        <v>0.70741512126088957</v>
      </c>
      <c r="T17" s="129">
        <v>0.1827</v>
      </c>
      <c r="U17" s="129">
        <v>0.33169999999999999</v>
      </c>
      <c r="V17" s="129">
        <f t="shared" si="6"/>
        <v>0.70129895937025699</v>
      </c>
      <c r="W17" s="129">
        <v>0.23380000000000001</v>
      </c>
      <c r="X17" s="129">
        <v>0.4385</v>
      </c>
      <c r="Y17" s="129">
        <f t="shared" si="7"/>
        <v>0.67886751552812097</v>
      </c>
      <c r="Z17" s="129">
        <v>0.2848</v>
      </c>
      <c r="AA17" s="129">
        <v>0.55710000000000004</v>
      </c>
      <c r="AB17" s="129">
        <f t="shared" si="8"/>
        <v>0.65090400707336971</v>
      </c>
      <c r="AC17" s="129">
        <v>0.3357</v>
      </c>
      <c r="AD17" s="129">
        <v>0.6875</v>
      </c>
      <c r="AE17" s="129">
        <f t="shared" si="9"/>
        <v>0.62171129478922782</v>
      </c>
    </row>
    <row r="18" spans="1:31">
      <c r="A18" s="128">
        <f t="shared" si="10"/>
        <v>0.89999999999999991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>
        <v>2.8299999999999999E-2</v>
      </c>
      <c r="O18" s="129">
        <v>9.06E-2</v>
      </c>
      <c r="P18" s="129">
        <f t="shared" si="4"/>
        <v>0.4474256512748977</v>
      </c>
      <c r="Q18" s="129">
        <v>8.1799999999999998E-2</v>
      </c>
      <c r="R18" s="129">
        <v>0.17080000000000001</v>
      </c>
      <c r="S18" s="129">
        <f t="shared" si="5"/>
        <v>0.68600625939258375</v>
      </c>
      <c r="T18" s="129">
        <v>0.1348</v>
      </c>
      <c r="U18" s="129">
        <v>0.26319999999999999</v>
      </c>
      <c r="V18" s="129">
        <f t="shared" si="6"/>
        <v>0.73361237446461769</v>
      </c>
      <c r="W18" s="129">
        <v>0.18740000000000001</v>
      </c>
      <c r="X18" s="129">
        <v>0.36749999999999999</v>
      </c>
      <c r="Y18" s="129">
        <f t="shared" si="7"/>
        <v>0.73042374698990653</v>
      </c>
      <c r="Z18" s="129">
        <v>0.23960000000000001</v>
      </c>
      <c r="AA18" s="129">
        <v>0.4839</v>
      </c>
      <c r="AB18" s="129">
        <f t="shared" si="8"/>
        <v>0.70924099872569335</v>
      </c>
      <c r="AC18" s="129">
        <v>0.2913</v>
      </c>
      <c r="AD18" s="129">
        <v>0.61219999999999997</v>
      </c>
      <c r="AE18" s="129">
        <f t="shared" si="9"/>
        <v>0.68156895508660886</v>
      </c>
    </row>
    <row r="19" spans="1:31">
      <c r="A19" s="128">
        <f t="shared" si="10"/>
        <v>0.99999999999999989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>
        <v>2.92E-2</v>
      </c>
      <c r="R19" s="129">
        <v>0.1007</v>
      </c>
      <c r="S19" s="129">
        <f t="shared" si="5"/>
        <v>0.46150192038563492</v>
      </c>
      <c r="T19" s="129">
        <v>8.4099999999999994E-2</v>
      </c>
      <c r="U19" s="129">
        <v>0.19</v>
      </c>
      <c r="V19" s="129">
        <f t="shared" si="6"/>
        <v>0.70447003758044191</v>
      </c>
      <c r="W19" s="129">
        <v>0.1381</v>
      </c>
      <c r="X19" s="129">
        <v>0.29170000000000001</v>
      </c>
      <c r="Y19" s="129">
        <f t="shared" si="7"/>
        <v>0.75348980599899706</v>
      </c>
      <c r="Z19" s="129">
        <v>0.1913</v>
      </c>
      <c r="AA19" s="129">
        <v>0.40579999999999999</v>
      </c>
      <c r="AB19" s="129">
        <f t="shared" si="8"/>
        <v>0.75027946312172433</v>
      </c>
      <c r="AC19" s="129">
        <v>0.2437</v>
      </c>
      <c r="AD19" s="129">
        <v>0.53220000000000001</v>
      </c>
      <c r="AE19" s="129">
        <f t="shared" si="9"/>
        <v>0.7287872910840828</v>
      </c>
    </row>
    <row r="20" spans="1:31">
      <c r="A20" s="128">
        <f t="shared" si="10"/>
        <v>1.0999999999999999</v>
      </c>
      <c r="T20" s="129">
        <v>3.0499999999999999E-2</v>
      </c>
      <c r="U20" s="129">
        <v>0.1123</v>
      </c>
      <c r="V20" s="129">
        <f t="shared" si="6"/>
        <v>0.47548070710000784</v>
      </c>
      <c r="W20" s="129">
        <v>8.5900000000000004E-2</v>
      </c>
      <c r="X20" s="129">
        <v>0.21129999999999999</v>
      </c>
      <c r="Y20" s="129">
        <f t="shared" si="7"/>
        <v>0.71171559738538537</v>
      </c>
      <c r="Z20" s="129">
        <v>0.14000000000000001</v>
      </c>
      <c r="AA20" s="129">
        <v>0.32290000000000002</v>
      </c>
      <c r="AB20" s="129">
        <f t="shared" si="8"/>
        <v>0.75905423462842625</v>
      </c>
      <c r="AC20" s="129">
        <v>0.1928</v>
      </c>
      <c r="AD20" s="129">
        <v>0.44740000000000002</v>
      </c>
      <c r="AE20" s="129">
        <f t="shared" si="9"/>
        <v>0.7544385411472766</v>
      </c>
    </row>
    <row r="21" spans="1:31">
      <c r="A21" s="128">
        <f t="shared" si="10"/>
        <v>1.2</v>
      </c>
      <c r="W21" s="129">
        <v>3.0800000000000001E-2</v>
      </c>
      <c r="X21" s="129">
        <v>0.12609999999999999</v>
      </c>
      <c r="Y21" s="129">
        <f t="shared" si="7"/>
        <v>0.4664842741218439</v>
      </c>
      <c r="Z21" s="129">
        <v>8.5699999999999998E-2</v>
      </c>
      <c r="AA21" s="129">
        <v>0.23530000000000001</v>
      </c>
      <c r="AB21" s="129">
        <f t="shared" si="8"/>
        <v>0.69560111974375327</v>
      </c>
      <c r="AC21" s="129">
        <v>0.1386</v>
      </c>
      <c r="AD21" s="129">
        <v>0.35770000000000002</v>
      </c>
      <c r="AE21" s="129">
        <f t="shared" si="9"/>
        <v>0.74002376670517267</v>
      </c>
    </row>
    <row r="22" spans="1:31">
      <c r="A22" s="128">
        <f t="shared" si="10"/>
        <v>1.3</v>
      </c>
      <c r="Z22" s="129">
        <v>2.8400000000000002E-2</v>
      </c>
      <c r="AA22" s="129">
        <v>0.1429</v>
      </c>
      <c r="AB22" s="129">
        <f t="shared" si="8"/>
        <v>0.41119667592391718</v>
      </c>
      <c r="AC22" s="129">
        <v>8.1199999999999994E-2</v>
      </c>
      <c r="AD22" s="129">
        <v>0.26319999999999999</v>
      </c>
      <c r="AE22" s="129">
        <f t="shared" si="9"/>
        <v>0.63831291006004831</v>
      </c>
    </row>
    <row r="23" spans="1:31">
      <c r="A23" s="128">
        <f t="shared" si="10"/>
        <v>1.4000000000000001</v>
      </c>
      <c r="AC23" s="129">
        <v>2.0500000000000001E-2</v>
      </c>
      <c r="AD23" s="129">
        <v>0.16400000000000001</v>
      </c>
      <c r="AE23" s="129">
        <f t="shared" si="9"/>
        <v>0.27852115041081688</v>
      </c>
    </row>
    <row r="32" spans="1:31">
      <c r="B32" s="125" t="s">
        <v>113</v>
      </c>
    </row>
    <row r="34" spans="3:12">
      <c r="C34" t="str">
        <f>+Sheet3!J38</f>
        <v>J</v>
      </c>
      <c r="D34">
        <f>+Sheet3!K38</f>
        <v>0.4</v>
      </c>
      <c r="E34">
        <f>+Sheet3!L38</f>
        <v>0.5</v>
      </c>
      <c r="F34">
        <f>+Sheet3!M38</f>
        <v>0.6</v>
      </c>
      <c r="G34">
        <f>+Sheet3!N38</f>
        <v>0.7</v>
      </c>
      <c r="H34">
        <f>+Sheet3!O38</f>
        <v>0.79999999999999993</v>
      </c>
      <c r="I34">
        <f>+Sheet3!P38</f>
        <v>0.89999999999999991</v>
      </c>
      <c r="J34">
        <f>+Sheet3!Q38</f>
        <v>0.99999999999999989</v>
      </c>
    </row>
    <row r="35" spans="3:12">
      <c r="C35" t="str">
        <f>+Sheet3!J39</f>
        <v>Kt</v>
      </c>
      <c r="D35">
        <f>+Sheet3!K39</f>
        <v>7.0650667549141408E-3</v>
      </c>
      <c r="E35">
        <f>+Sheet3!L39</f>
        <v>1.7248698132114593E-2</v>
      </c>
      <c r="F35">
        <f>+Sheet3!M39</f>
        <v>3.576690044675282E-2</v>
      </c>
      <c r="G35">
        <f>+Sheet3!N39</f>
        <v>6.6262598744331408E-2</v>
      </c>
      <c r="H35">
        <f>+Sheet3!O39</f>
        <v>0.11304106807862616</v>
      </c>
      <c r="I35">
        <f>+Sheet3!P39</f>
        <v>0.18106993351168607</v>
      </c>
      <c r="J35">
        <f>+Sheet3!Q39</f>
        <v>0.27597917011383338</v>
      </c>
    </row>
    <row r="37" spans="3:12">
      <c r="C37" s="125" t="s">
        <v>91</v>
      </c>
      <c r="D37">
        <v>0.6</v>
      </c>
      <c r="E37">
        <f>+D37+0.1</f>
        <v>0.7</v>
      </c>
      <c r="F37">
        <f>+E37+0.1</f>
        <v>0.79999999999999993</v>
      </c>
      <c r="G37">
        <f t="shared" ref="G37:K37" si="11">+F37+0.1</f>
        <v>0.89999999999999991</v>
      </c>
      <c r="H37">
        <f>+G37+0.1</f>
        <v>0.99999999999999989</v>
      </c>
      <c r="I37">
        <f t="shared" si="11"/>
        <v>1.0999999999999999</v>
      </c>
      <c r="J37">
        <f>+I37+0.1</f>
        <v>1.2</v>
      </c>
      <c r="K37">
        <f t="shared" si="11"/>
        <v>1.3</v>
      </c>
      <c r="L37">
        <f>+K37+0.1</f>
        <v>1.4000000000000001</v>
      </c>
    </row>
    <row r="38" spans="3:12">
      <c r="C38" s="125" t="s">
        <v>65</v>
      </c>
      <c r="D38" s="135">
        <f>+AD96</f>
        <v>0.56227584294993593</v>
      </c>
      <c r="E38" s="135">
        <f>+AD97</f>
        <v>0.60883218829421581</v>
      </c>
      <c r="F38" s="135">
        <f>+AD98</f>
        <v>0.64968911150530528</v>
      </c>
      <c r="G38" s="135">
        <f>+AD99</f>
        <v>0.68678571881148431</v>
      </c>
      <c r="H38" s="135">
        <f>+AD100</f>
        <v>0.72116500779892934</v>
      </c>
      <c r="I38" s="135">
        <f>+AD101</f>
        <v>0.75327978110701466</v>
      </c>
      <c r="J38" s="135">
        <f>+AD102</f>
        <v>0.78365296395835915</v>
      </c>
      <c r="K38" s="135">
        <f>+AD103</f>
        <v>0.81234544943726095</v>
      </c>
      <c r="L38" s="135">
        <f>+AD104</f>
        <v>0.8395716080679595</v>
      </c>
    </row>
    <row r="39" spans="3:12">
      <c r="C39" s="125" t="s">
        <v>110</v>
      </c>
      <c r="D39">
        <f>+AG96</f>
        <v>4.9770739616828846E-2</v>
      </c>
      <c r="E39">
        <f>+AG97</f>
        <v>7.4808908591883383E-2</v>
      </c>
      <c r="F39">
        <f>+AG98</f>
        <v>0.10345906695803805</v>
      </c>
      <c r="G39">
        <f>+AG99</f>
        <v>0.13487890445321746</v>
      </c>
      <c r="H39">
        <f>+AG100</f>
        <v>0.16859139607680679</v>
      </c>
      <c r="I39">
        <f>+AG101</f>
        <v>0.20407571490215581</v>
      </c>
      <c r="J39">
        <f>+AG102</f>
        <v>0.24118413465455868</v>
      </c>
      <c r="K39">
        <f>+AG103</f>
        <v>0.27940765075685314</v>
      </c>
      <c r="L39">
        <f>+AG104</f>
        <v>0.31852412984816397</v>
      </c>
    </row>
    <row r="40" spans="3:12">
      <c r="C40" s="125" t="s">
        <v>111</v>
      </c>
      <c r="D40" s="135">
        <f>+F15-(F15-F14)*(($A$15-D38)/(A15-A14))</f>
        <v>7.8876490348875422E-2</v>
      </c>
      <c r="E40" s="135">
        <f>+I16-(I16-I15)*((A16-E38)/(A16-A15))</f>
        <v>0.11553120712513013</v>
      </c>
      <c r="F40" s="135">
        <f>+L16-(L16-L15)*((A16-F38)/(A16-A15))</f>
        <v>0.16155730957831552</v>
      </c>
      <c r="G40" s="135">
        <f>+O16-(O16-O15)*((A16-G38)/(A16-A15))</f>
        <v>0.2182960689982329</v>
      </c>
      <c r="H40" s="135">
        <f>+R17-(R17-R16)*((A17-H38)/(A17-A16))</f>
        <v>0.28466818023485413</v>
      </c>
      <c r="I40" s="135">
        <f>+U17-(U17-U16)*((A17-I38)/(A17-A16))</f>
        <v>0.36150749965372464</v>
      </c>
      <c r="J40" s="135">
        <f>+X17-(X17-X16)*((A17-J38)/(A17-A16))</f>
        <v>0.44935443193164948</v>
      </c>
      <c r="K40" s="135">
        <f>+AA18-(AA18-AA17)*((A18-K38)/(A18-A17))</f>
        <v>0.54806313101192494</v>
      </c>
      <c r="L40" s="135">
        <f>+AD18-(AD18-AD17)*((A18-L38)/(A18-A17))</f>
        <v>0.65770257912482644</v>
      </c>
    </row>
    <row r="41" spans="3:12">
      <c r="C41" s="125" t="s">
        <v>115</v>
      </c>
      <c r="D41">
        <f>+D39*D38/((D40/10)*2*PI())</f>
        <v>0.56467176617985093</v>
      </c>
      <c r="E41">
        <f t="shared" ref="E41:L41" si="12">+E39*E38/((E40/10)*2*PI())</f>
        <v>0.62743933881656466</v>
      </c>
      <c r="F41">
        <f t="shared" si="12"/>
        <v>0.66216720093239578</v>
      </c>
      <c r="G41">
        <f>+G39*G38/((G40/10)*2*PI())</f>
        <v>0.6753664803337831</v>
      </c>
      <c r="H41">
        <f t="shared" si="12"/>
        <v>0.67975319783205379</v>
      </c>
      <c r="I41">
        <f t="shared" si="12"/>
        <v>0.67678458368002048</v>
      </c>
      <c r="J41">
        <f t="shared" si="12"/>
        <v>0.66942760734555717</v>
      </c>
      <c r="K41">
        <f t="shared" si="12"/>
        <v>0.65912622276711041</v>
      </c>
      <c r="L41">
        <f t="shared" si="12"/>
        <v>0.6471287106464445</v>
      </c>
    </row>
    <row r="57" spans="31:31" ht="14.25">
      <c r="AE57" s="142" t="s">
        <v>129</v>
      </c>
    </row>
    <row r="69" spans="24:26" ht="14.25">
      <c r="Z69" s="142" t="s">
        <v>129</v>
      </c>
    </row>
    <row r="70" spans="24:26">
      <c r="Y70" s="142" t="s">
        <v>130</v>
      </c>
    </row>
    <row r="71" spans="24:26">
      <c r="Y71" s="143" t="s">
        <v>131</v>
      </c>
      <c r="Z71">
        <v>0.73518499999999998</v>
      </c>
    </row>
    <row r="76" spans="24:26">
      <c r="X76" s="125" t="s">
        <v>121</v>
      </c>
    </row>
    <row r="81" spans="24:33">
      <c r="X81" s="125" t="s">
        <v>120</v>
      </c>
      <c r="Y81">
        <v>-0.20760000000000001</v>
      </c>
      <c r="Z81">
        <v>-0.2424</v>
      </c>
      <c r="AA81">
        <v>0.25169999999999998</v>
      </c>
      <c r="AD81" s="125" t="s">
        <v>122</v>
      </c>
      <c r="AE81" s="136" t="s">
        <v>118</v>
      </c>
    </row>
    <row r="82" spans="24:33">
      <c r="Y82">
        <v>-0.18379999999999999</v>
      </c>
      <c r="Z82">
        <v>-0.25369999999999998</v>
      </c>
      <c r="AA82">
        <v>0.2974</v>
      </c>
      <c r="AE82" s="136" t="s">
        <v>119</v>
      </c>
    </row>
    <row r="83" spans="24:33">
      <c r="Y83">
        <v>-0.16769999999999999</v>
      </c>
      <c r="Z83">
        <v>-0.25590000000000002</v>
      </c>
      <c r="AA83">
        <v>0.34050000000000002</v>
      </c>
      <c r="AE83" s="137">
        <v>1</v>
      </c>
    </row>
    <row r="84" spans="24:33">
      <c r="Y84">
        <v>-0.1525</v>
      </c>
      <c r="Z84">
        <v>-0.25800000000000001</v>
      </c>
      <c r="AA84">
        <v>0.38400000000000001</v>
      </c>
    </row>
    <row r="85" spans="24:33">
      <c r="Y85">
        <v>-0.14399999999999999</v>
      </c>
      <c r="Z85">
        <v>-0.25169999999999998</v>
      </c>
      <c r="AA85">
        <v>0.42499999999999999</v>
      </c>
    </row>
    <row r="86" spans="24:33">
      <c r="Y86">
        <v>-0.1411</v>
      </c>
      <c r="Z86">
        <v>-0.23930000000000001</v>
      </c>
      <c r="AA86">
        <v>0.46439999999999998</v>
      </c>
    </row>
    <row r="87" spans="24:33">
      <c r="Y87">
        <v>-0.1434</v>
      </c>
      <c r="Z87">
        <v>-0.22070000000000001</v>
      </c>
      <c r="AA87">
        <v>0.50219999999999998</v>
      </c>
    </row>
    <row r="88" spans="24:33">
      <c r="Y88">
        <v>-0.1507</v>
      </c>
      <c r="Z88">
        <v>-0.19639999999999999</v>
      </c>
      <c r="AA88">
        <v>0.53839999999999999</v>
      </c>
    </row>
    <row r="89" spans="24:33">
      <c r="Y89">
        <v>-0.1633</v>
      </c>
      <c r="Z89">
        <v>-0.16600000000000001</v>
      </c>
      <c r="AA89">
        <v>0.57299999999999995</v>
      </c>
    </row>
    <row r="92" spans="24:33">
      <c r="X92" s="125" t="s">
        <v>123</v>
      </c>
      <c r="Y92">
        <v>1.8695999999999999</v>
      </c>
      <c r="Z92">
        <v>-1.6516999999999999</v>
      </c>
      <c r="AA92">
        <v>0.38740000000000002</v>
      </c>
    </row>
    <row r="95" spans="24:33">
      <c r="X95" s="125" t="s">
        <v>124</v>
      </c>
      <c r="Y95" s="125" t="s">
        <v>125</v>
      </c>
      <c r="Z95" s="125" t="s">
        <v>126</v>
      </c>
    </row>
    <row r="96" spans="24:33">
      <c r="X96" s="125">
        <f>+Y81-$Y$92</f>
        <v>-2.0771999999999999</v>
      </c>
      <c r="Y96">
        <f>+Z81-$Z$92</f>
        <v>1.4093</v>
      </c>
      <c r="Z96">
        <f>+AA81-$AA$92</f>
        <v>-0.13570000000000004</v>
      </c>
      <c r="AC96" s="141" t="s">
        <v>127</v>
      </c>
      <c r="AD96" s="135">
        <f>+(-Y96-SQRT(Y96^2-4*X96*Z96))/(2*X96)</f>
        <v>0.56227584294993593</v>
      </c>
      <c r="AF96" s="141" t="s">
        <v>128</v>
      </c>
      <c r="AG96">
        <f>+Y81*AD96^2+Z81*AD96+AA81</f>
        <v>4.9770739616828846E-2</v>
      </c>
    </row>
    <row r="97" spans="24:33">
      <c r="X97" s="125">
        <f t="shared" ref="X97:X103" si="13">+Y82-$Y$92</f>
        <v>-2.0533999999999999</v>
      </c>
      <c r="Y97">
        <f t="shared" ref="Y97:Y103" si="14">+Z82-$Z$92</f>
        <v>1.3979999999999999</v>
      </c>
      <c r="Z97">
        <f t="shared" ref="Z97:Z103" si="15">+AA82-$AA$92</f>
        <v>-9.0000000000000024E-2</v>
      </c>
      <c r="AD97" s="135">
        <f t="shared" ref="AD97:AD104" si="16">+(-Y97-SQRT(Y97^2-4*X97*Z97))/(2*X97)</f>
        <v>0.60883218829421581</v>
      </c>
      <c r="AG97">
        <f t="shared" ref="AG97:AG104" si="17">+Y82*AD97^2+Z82*AD97+AA82</f>
        <v>7.4808908591883383E-2</v>
      </c>
    </row>
    <row r="98" spans="24:33">
      <c r="X98" s="125">
        <f t="shared" si="13"/>
        <v>-2.0373000000000001</v>
      </c>
      <c r="Y98">
        <f t="shared" si="14"/>
        <v>1.3957999999999999</v>
      </c>
      <c r="Z98">
        <f t="shared" si="15"/>
        <v>-4.6899999999999997E-2</v>
      </c>
      <c r="AD98" s="135">
        <f t="shared" si="16"/>
        <v>0.64968911150530528</v>
      </c>
      <c r="AG98">
        <f t="shared" si="17"/>
        <v>0.10345906695803805</v>
      </c>
    </row>
    <row r="99" spans="24:33">
      <c r="X99" s="125">
        <f t="shared" si="13"/>
        <v>-2.0221</v>
      </c>
      <c r="Y99">
        <f t="shared" si="14"/>
        <v>1.3936999999999999</v>
      </c>
      <c r="Z99">
        <f t="shared" si="15"/>
        <v>-3.4000000000000141E-3</v>
      </c>
      <c r="AD99" s="135">
        <f t="shared" si="16"/>
        <v>0.68678571881148431</v>
      </c>
      <c r="AG99">
        <f t="shared" si="17"/>
        <v>0.13487890445321746</v>
      </c>
    </row>
    <row r="100" spans="24:33">
      <c r="X100" s="125">
        <f t="shared" si="13"/>
        <v>-2.0135999999999998</v>
      </c>
      <c r="Y100">
        <f t="shared" si="14"/>
        <v>1.4</v>
      </c>
      <c r="Z100">
        <f t="shared" si="15"/>
        <v>3.7599999999999967E-2</v>
      </c>
      <c r="AD100" s="135">
        <f t="shared" si="16"/>
        <v>0.72116500779892934</v>
      </c>
      <c r="AG100">
        <f t="shared" si="17"/>
        <v>0.16859139607680679</v>
      </c>
    </row>
    <row r="101" spans="24:33">
      <c r="X101" s="125">
        <f t="shared" si="13"/>
        <v>-2.0106999999999999</v>
      </c>
      <c r="Y101">
        <f t="shared" si="14"/>
        <v>1.4123999999999999</v>
      </c>
      <c r="Z101">
        <f t="shared" si="15"/>
        <v>7.6999999999999957E-2</v>
      </c>
      <c r="AD101" s="135">
        <f t="shared" si="16"/>
        <v>0.75327978110701466</v>
      </c>
      <c r="AG101">
        <f t="shared" si="17"/>
        <v>0.20407571490215581</v>
      </c>
    </row>
    <row r="102" spans="24:33">
      <c r="X102" s="125">
        <f t="shared" si="13"/>
        <v>-2.0129999999999999</v>
      </c>
      <c r="Y102">
        <f t="shared" si="14"/>
        <v>1.431</v>
      </c>
      <c r="Z102">
        <f t="shared" si="15"/>
        <v>0.11479999999999996</v>
      </c>
      <c r="AD102" s="135">
        <f t="shared" si="16"/>
        <v>0.78365296395835915</v>
      </c>
      <c r="AG102">
        <f t="shared" si="17"/>
        <v>0.24118413465455868</v>
      </c>
    </row>
    <row r="103" spans="24:33">
      <c r="X103" s="125">
        <f t="shared" si="13"/>
        <v>-2.0202999999999998</v>
      </c>
      <c r="Y103">
        <f t="shared" si="14"/>
        <v>1.4553</v>
      </c>
      <c r="Z103">
        <f t="shared" si="15"/>
        <v>0.15099999999999997</v>
      </c>
      <c r="AD103" s="135">
        <f t="shared" si="16"/>
        <v>0.81234544943726095</v>
      </c>
      <c r="AG103">
        <f t="shared" si="17"/>
        <v>0.27940765075685314</v>
      </c>
    </row>
    <row r="104" spans="24:33">
      <c r="X104" s="125">
        <f>+Y89-$Y$92</f>
        <v>-2.0328999999999997</v>
      </c>
      <c r="Y104">
        <f>+Z89-$Z$92</f>
        <v>1.4857</v>
      </c>
      <c r="Z104">
        <f>+AA89-$AA$92</f>
        <v>0.18559999999999993</v>
      </c>
      <c r="AD104" s="135">
        <f t="shared" si="16"/>
        <v>0.8395716080679595</v>
      </c>
      <c r="AG104">
        <f t="shared" si="17"/>
        <v>0.31852412984816397</v>
      </c>
    </row>
    <row r="105" spans="24:33">
      <c r="X105" s="125"/>
      <c r="AD105" s="135"/>
    </row>
    <row r="106" spans="24:33">
      <c r="X106" s="125"/>
      <c r="AD106" s="135"/>
    </row>
    <row r="107" spans="24:33">
      <c r="X107" s="125"/>
    </row>
    <row r="108" spans="24:33">
      <c r="X108" s="125"/>
    </row>
    <row r="109" spans="24:33">
      <c r="X109" s="125"/>
    </row>
  </sheetData>
  <mergeCells count="12">
    <mergeCell ref="A4:AD4"/>
    <mergeCell ref="A5:AD5"/>
    <mergeCell ref="B7:D7"/>
    <mergeCell ref="E7:G7"/>
    <mergeCell ref="H7:J7"/>
    <mergeCell ref="K7:M7"/>
    <mergeCell ref="AC7:AE7"/>
    <mergeCell ref="N7:P7"/>
    <mergeCell ref="Q7:S7"/>
    <mergeCell ref="T7:V7"/>
    <mergeCell ref="W7:Y7"/>
    <mergeCell ref="Z7:AB7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workbookViewId="0">
      <selection activeCell="K38" sqref="K38"/>
    </sheetView>
  </sheetViews>
  <sheetFormatPr defaultRowHeight="12.75"/>
  <sheetData>
    <row r="1" spans="1:31">
      <c r="A1" s="130" t="s">
        <v>112</v>
      </c>
    </row>
    <row r="3" spans="1:31">
      <c r="A3" s="192" t="s">
        <v>107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</row>
    <row r="4" spans="1:31">
      <c r="A4" s="193" t="s">
        <v>108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</row>
    <row r="6" spans="1:31" ht="15.75">
      <c r="A6" s="126" t="s">
        <v>109</v>
      </c>
      <c r="B6" s="194">
        <v>0.5</v>
      </c>
      <c r="C6" s="194"/>
      <c r="D6" s="194"/>
      <c r="E6" s="194">
        <v>0.6</v>
      </c>
      <c r="F6" s="194"/>
      <c r="G6" s="194"/>
      <c r="H6" s="194">
        <v>0.7</v>
      </c>
      <c r="I6" s="194"/>
      <c r="J6" s="194"/>
      <c r="K6" s="194">
        <v>0.8</v>
      </c>
      <c r="L6" s="194"/>
      <c r="M6" s="194"/>
      <c r="N6" s="194">
        <v>0.9</v>
      </c>
      <c r="O6" s="194"/>
      <c r="P6" s="194"/>
      <c r="Q6" s="195">
        <v>1</v>
      </c>
      <c r="R6" s="195"/>
      <c r="S6" s="195"/>
      <c r="T6" s="194">
        <v>1.1000000000000001</v>
      </c>
      <c r="U6" s="194"/>
      <c r="V6" s="194"/>
      <c r="W6" s="194">
        <v>1.2</v>
      </c>
      <c r="X6" s="194"/>
      <c r="Y6" s="194"/>
      <c r="Z6" s="194">
        <v>1.3</v>
      </c>
      <c r="AA6" s="194"/>
      <c r="AB6" s="194"/>
      <c r="AC6" s="194">
        <v>1.4</v>
      </c>
      <c r="AD6" s="194"/>
      <c r="AE6" s="194"/>
    </row>
    <row r="7" spans="1:31" ht="15.75">
      <c r="A7" s="126" t="s">
        <v>65</v>
      </c>
      <c r="B7" s="127" t="s">
        <v>110</v>
      </c>
      <c r="C7" s="127" t="s">
        <v>111</v>
      </c>
      <c r="D7" s="127" t="s">
        <v>117</v>
      </c>
      <c r="E7" s="127" t="s">
        <v>110</v>
      </c>
      <c r="F7" s="127" t="s">
        <v>111</v>
      </c>
      <c r="G7" s="127" t="s">
        <v>117</v>
      </c>
      <c r="H7" s="127" t="s">
        <v>110</v>
      </c>
      <c r="I7" s="127" t="s">
        <v>111</v>
      </c>
      <c r="J7" s="127" t="s">
        <v>117</v>
      </c>
      <c r="K7" s="127" t="s">
        <v>110</v>
      </c>
      <c r="L7" s="127" t="s">
        <v>111</v>
      </c>
      <c r="M7" s="127" t="s">
        <v>117</v>
      </c>
      <c r="N7" s="127" t="s">
        <v>110</v>
      </c>
      <c r="O7" s="127" t="s">
        <v>111</v>
      </c>
      <c r="P7" s="127" t="s">
        <v>117</v>
      </c>
      <c r="Q7" s="127" t="s">
        <v>110</v>
      </c>
      <c r="R7" s="127" t="s">
        <v>111</v>
      </c>
      <c r="S7" s="127" t="s">
        <v>117</v>
      </c>
      <c r="T7" s="127" t="s">
        <v>110</v>
      </c>
      <c r="U7" s="127" t="s">
        <v>111</v>
      </c>
      <c r="V7" s="127" t="s">
        <v>117</v>
      </c>
      <c r="W7" s="127" t="s">
        <v>110</v>
      </c>
      <c r="X7" s="127" t="s">
        <v>111</v>
      </c>
      <c r="Y7" s="127" t="s">
        <v>117</v>
      </c>
      <c r="Z7" s="127" t="s">
        <v>110</v>
      </c>
      <c r="AA7" s="127" t="s">
        <v>111</v>
      </c>
      <c r="AB7" s="127" t="s">
        <v>117</v>
      </c>
      <c r="AC7" s="127" t="s">
        <v>110</v>
      </c>
      <c r="AD7" s="127" t="s">
        <v>111</v>
      </c>
      <c r="AE7" s="127" t="s">
        <v>117</v>
      </c>
    </row>
    <row r="8" spans="1:31">
      <c r="A8" s="140">
        <v>0</v>
      </c>
      <c r="B8" s="129">
        <v>0.2044</v>
      </c>
      <c r="C8" s="129">
        <v>0.18260000000000001</v>
      </c>
      <c r="D8" s="129">
        <f>+(B8/(C8/10))*(A8/(2*PI()))</f>
        <v>0</v>
      </c>
      <c r="E8" s="129">
        <v>0.25169999999999998</v>
      </c>
      <c r="F8" s="129">
        <v>0.2455</v>
      </c>
      <c r="G8" s="129">
        <f>+(E8/(F8/10))*(A8/(2*PI()))</f>
        <v>0</v>
      </c>
      <c r="H8" s="129">
        <v>0.2974</v>
      </c>
      <c r="I8" s="129">
        <v>0.31869999999999998</v>
      </c>
      <c r="J8" s="129">
        <f>+(H8/(I8/10))*(A8/(2*PI()))</f>
        <v>0</v>
      </c>
      <c r="K8" s="129">
        <v>0.34150000000000003</v>
      </c>
      <c r="L8" s="129">
        <v>0.40210000000000001</v>
      </c>
      <c r="M8" s="129">
        <f>+(K8/(L8/10))*(A8/(2*PI()))</f>
        <v>0</v>
      </c>
      <c r="N8" s="129">
        <v>0.38400000000000001</v>
      </c>
      <c r="O8" s="129">
        <v>0.49559999999999998</v>
      </c>
      <c r="P8" s="129">
        <f>+(N8/(O8/10))*(A8/(2*PI()))</f>
        <v>0</v>
      </c>
      <c r="Q8" s="129">
        <v>0.42499999999999999</v>
      </c>
      <c r="R8" s="129">
        <v>0.59940000000000004</v>
      </c>
      <c r="S8" s="129">
        <f>+(Q8/(R8/10))*(A8/(2*PI()))</f>
        <v>0</v>
      </c>
      <c r="T8" s="129">
        <v>0.46439999999999998</v>
      </c>
      <c r="U8" s="129">
        <v>0.71330000000000005</v>
      </c>
      <c r="V8" s="129">
        <f>+(T8/(U8/10))*(A8/(2*PI()))</f>
        <v>0</v>
      </c>
      <c r="W8" s="129">
        <v>0.50219999999999998</v>
      </c>
      <c r="X8" s="129">
        <v>0.83740000000000003</v>
      </c>
      <c r="Y8" s="129">
        <f>+(W8/(X8/10))*(A8/(2*PI()))</f>
        <v>0</v>
      </c>
      <c r="Z8" s="129">
        <v>0.53839999999999999</v>
      </c>
      <c r="AA8" s="129">
        <v>0.97170000000000001</v>
      </c>
      <c r="AB8" s="129">
        <f>+(Z8/(AA8/10))*(A8/(2*PI()))</f>
        <v>0</v>
      </c>
      <c r="AC8" s="129">
        <v>0.57299999999999995</v>
      </c>
      <c r="AD8" s="129">
        <v>1.1161000000000001</v>
      </c>
      <c r="AE8" s="129">
        <f>+(AC8/(AD8/10))*(A8/(2*PI()))</f>
        <v>0</v>
      </c>
    </row>
    <row r="9" spans="1:31">
      <c r="A9" s="140">
        <f>+A8+0.1</f>
        <v>0.1</v>
      </c>
      <c r="B9" s="129">
        <v>0.17949999999999999</v>
      </c>
      <c r="C9" s="129">
        <v>0.16420000000000001</v>
      </c>
      <c r="D9" s="129">
        <f t="shared" ref="D9:D13" si="0">+(B9/(C9/10))*(A9/(2*PI()))</f>
        <v>0.17398484948230944</v>
      </c>
      <c r="E9" s="129">
        <v>0.22539999999999999</v>
      </c>
      <c r="F9" s="129">
        <v>0.22470000000000001</v>
      </c>
      <c r="G9" s="129">
        <f t="shared" ref="G9:G14" si="1">+(E9/(F9/10))*(A9/(2*PI()))</f>
        <v>0.15965075288345887</v>
      </c>
      <c r="H9" s="129">
        <v>0.2702</v>
      </c>
      <c r="I9" s="129">
        <v>0.29559999999999997</v>
      </c>
      <c r="J9" s="129">
        <f t="shared" ref="J9:J15" si="2">+(H9/(I9/10))*(A9/(2*PI()))</f>
        <v>0.14547924771119797</v>
      </c>
      <c r="K9" s="129">
        <v>0.31140000000000001</v>
      </c>
      <c r="L9" s="129">
        <v>0.37669999999999998</v>
      </c>
      <c r="M9" s="129">
        <f t="shared" ref="M9:M16" si="3">+(K9/(L9/10))*(A9/(2*PI()))</f>
        <v>0.13156583296739108</v>
      </c>
      <c r="N9" s="129">
        <v>0.35670000000000002</v>
      </c>
      <c r="O9" s="129">
        <v>0.46810000000000002</v>
      </c>
      <c r="P9" s="129">
        <f t="shared" ref="P9:P17" si="4">+(N9/(O9/10))*(A9/(2*PI()))</f>
        <v>0.12127871865173907</v>
      </c>
      <c r="Q9" s="129">
        <v>0.39839999999999998</v>
      </c>
      <c r="R9" s="129">
        <v>0.56979999999999997</v>
      </c>
      <c r="S9" s="129">
        <f t="shared" ref="S9:S18" si="5">+(Q9/(R9/10))*(A9/(2*PI()))</f>
        <v>0.11127997425028274</v>
      </c>
      <c r="T9" s="129">
        <v>0.43909999999999999</v>
      </c>
      <c r="U9" s="129">
        <v>0.68179999999999996</v>
      </c>
      <c r="V9" s="129">
        <f t="shared" ref="V9:V19" si="6">+(T9/(U9/10))*(A9/(2*PI()))</f>
        <v>0.10250063876745563</v>
      </c>
      <c r="W9" s="129">
        <v>0.47870000000000001</v>
      </c>
      <c r="X9" s="129">
        <v>0.80400000000000005</v>
      </c>
      <c r="Y9" s="129">
        <f t="shared" ref="Y9:Y20" si="7">+(W9/(X9/10))*(A9/(2*PI()))</f>
        <v>9.476053639065958E-2</v>
      </c>
      <c r="Z9" s="129">
        <v>0.51729999999999998</v>
      </c>
      <c r="AA9" s="129">
        <v>0.93659999999999999</v>
      </c>
      <c r="AB9" s="129">
        <f t="shared" ref="AB9:AB21" si="8">+(Z9/(AA9/10))*(A9/(2*PI()))</f>
        <v>8.7903963337003482E-2</v>
      </c>
      <c r="AC9" s="129">
        <v>0.55479999999999996</v>
      </c>
      <c r="AD9" s="129">
        <v>1.0793999999999999</v>
      </c>
      <c r="AE9" s="129">
        <f t="shared" ref="AE9:AE22" si="9">+(AC9/(AD9/10))*(A9/(2*PI()))</f>
        <v>8.1803930357034954E-2</v>
      </c>
    </row>
    <row r="10" spans="1:31">
      <c r="A10" s="140">
        <f t="shared" ref="A10:A22" si="10">+A9+0.1</f>
        <v>0.2</v>
      </c>
      <c r="B10" s="129">
        <v>0.14990000000000001</v>
      </c>
      <c r="C10" s="129">
        <v>0.14230000000000001</v>
      </c>
      <c r="D10" s="129">
        <f t="shared" si="0"/>
        <v>0.33531027363984695</v>
      </c>
      <c r="E10" s="129">
        <v>0.19489999999999999</v>
      </c>
      <c r="F10" s="129">
        <v>0.2001</v>
      </c>
      <c r="G10" s="129">
        <f t="shared" si="1"/>
        <v>0.31003796510355219</v>
      </c>
      <c r="H10" s="129">
        <v>0.23930000000000001</v>
      </c>
      <c r="I10" s="129">
        <v>0.26840000000000003</v>
      </c>
      <c r="J10" s="129">
        <f t="shared" si="2"/>
        <v>0.28379864293510099</v>
      </c>
      <c r="K10" s="129">
        <v>0.28310000000000002</v>
      </c>
      <c r="L10" s="129">
        <v>0.34710000000000002</v>
      </c>
      <c r="M10" s="129">
        <f t="shared" si="3"/>
        <v>0.25961834854114413</v>
      </c>
      <c r="N10" s="129">
        <v>0.32629999999999998</v>
      </c>
      <c r="O10" s="129">
        <v>0.43619999999999998</v>
      </c>
      <c r="P10" s="129">
        <f t="shared" si="4"/>
        <v>0.23811214090273017</v>
      </c>
      <c r="Q10" s="129">
        <v>0.36890000000000001</v>
      </c>
      <c r="R10" s="129">
        <v>0.53569999999999995</v>
      </c>
      <c r="S10" s="129">
        <f t="shared" si="5"/>
        <v>0.21919827704536196</v>
      </c>
      <c r="T10" s="129">
        <v>0.41089999999999999</v>
      </c>
      <c r="U10" s="129">
        <v>0.64559999999999995</v>
      </c>
      <c r="V10" s="129">
        <f t="shared" si="6"/>
        <v>0.20259221225669083</v>
      </c>
      <c r="W10" s="129">
        <v>0.45229999999999998</v>
      </c>
      <c r="X10" s="129">
        <v>0.76590000000000003</v>
      </c>
      <c r="Y10" s="129">
        <f t="shared" si="7"/>
        <v>0.18797697025842605</v>
      </c>
      <c r="Z10" s="129">
        <v>0.49309999999999998</v>
      </c>
      <c r="AA10" s="129">
        <v>0.89670000000000005</v>
      </c>
      <c r="AB10" s="129">
        <f t="shared" si="8"/>
        <v>0.17504026416552601</v>
      </c>
      <c r="AC10" s="129">
        <v>0.5333</v>
      </c>
      <c r="AD10" s="129">
        <v>1.0378000000000001</v>
      </c>
      <c r="AE10" s="129">
        <f t="shared" si="9"/>
        <v>0.16357165378860622</v>
      </c>
    </row>
    <row r="11" spans="1:31">
      <c r="A11" s="140">
        <f t="shared" si="10"/>
        <v>0.30000000000000004</v>
      </c>
      <c r="B11" s="129">
        <v>0.11559999999999999</v>
      </c>
      <c r="C11" s="129">
        <v>0.1168</v>
      </c>
      <c r="D11" s="129">
        <f t="shared" si="0"/>
        <v>0.4725593687009359</v>
      </c>
      <c r="E11" s="129">
        <v>0.1603</v>
      </c>
      <c r="F11" s="129">
        <v>0.17180000000000001</v>
      </c>
      <c r="G11" s="129">
        <f t="shared" si="1"/>
        <v>0.44550414512743008</v>
      </c>
      <c r="H11" s="129">
        <v>0.20469999999999999</v>
      </c>
      <c r="I11" s="129">
        <v>0.23730000000000001</v>
      </c>
      <c r="J11" s="129">
        <f t="shared" si="2"/>
        <v>0.41187126233768623</v>
      </c>
      <c r="K11" s="129">
        <v>0.24890000000000001</v>
      </c>
      <c r="L11" s="129">
        <v>0.31330000000000002</v>
      </c>
      <c r="M11" s="129">
        <f t="shared" si="3"/>
        <v>0.37932012769460027</v>
      </c>
      <c r="N11" s="129">
        <v>0.29289999999999999</v>
      </c>
      <c r="O11" s="129">
        <v>0.39989999999999998</v>
      </c>
      <c r="P11" s="129">
        <f t="shared" si="4"/>
        <v>0.34971104899937105</v>
      </c>
      <c r="Q11" s="129">
        <v>0.33650000000000002</v>
      </c>
      <c r="R11" s="129">
        <v>0.49709999999999999</v>
      </c>
      <c r="S11" s="129">
        <f t="shared" si="5"/>
        <v>0.32320843904902113</v>
      </c>
      <c r="T11" s="129">
        <v>0.37990000000000002</v>
      </c>
      <c r="U11" s="129">
        <v>0.6048</v>
      </c>
      <c r="V11" s="129">
        <f t="shared" si="6"/>
        <v>0.2999154904792215</v>
      </c>
      <c r="W11" s="129">
        <v>0.42309999999999998</v>
      </c>
      <c r="X11" s="129">
        <v>0.72309999999999997</v>
      </c>
      <c r="Y11" s="129">
        <f t="shared" si="7"/>
        <v>0.27937404130347504</v>
      </c>
      <c r="Z11" s="129">
        <v>0.46589999999999998</v>
      </c>
      <c r="AA11" s="129">
        <v>0.85199999999999998</v>
      </c>
      <c r="AB11" s="129">
        <f t="shared" si="8"/>
        <v>0.26109256333279596</v>
      </c>
      <c r="AC11" s="129">
        <v>0.50860000000000005</v>
      </c>
      <c r="AD11" s="129">
        <v>0.99150000000000005</v>
      </c>
      <c r="AE11" s="129">
        <f t="shared" si="9"/>
        <v>0.24492043587454762</v>
      </c>
    </row>
    <row r="12" spans="1:31">
      <c r="A12" s="140">
        <f t="shared" si="10"/>
        <v>0.4</v>
      </c>
      <c r="B12" s="129">
        <v>7.6499999999999999E-2</v>
      </c>
      <c r="C12" s="129">
        <v>8.7900000000000006E-2</v>
      </c>
      <c r="D12" s="129">
        <f t="shared" si="0"/>
        <v>0.55405475069533527</v>
      </c>
      <c r="E12" s="129">
        <v>0.1215</v>
      </c>
      <c r="F12" s="129">
        <v>0.13689999999999999</v>
      </c>
      <c r="G12" s="129">
        <f t="shared" si="1"/>
        <v>0.56500586079372639</v>
      </c>
      <c r="H12" s="129">
        <v>0.16650000000000001</v>
      </c>
      <c r="I12" s="129">
        <v>0.2021</v>
      </c>
      <c r="J12" s="129">
        <f t="shared" si="2"/>
        <v>0.52447893171302484</v>
      </c>
      <c r="K12" s="129">
        <v>0.21149999999999999</v>
      </c>
      <c r="L12" s="129">
        <v>0.27529999999999999</v>
      </c>
      <c r="M12" s="129">
        <f t="shared" si="3"/>
        <v>0.48908493227658356</v>
      </c>
      <c r="N12" s="129">
        <v>0.25640000000000002</v>
      </c>
      <c r="O12" s="129">
        <v>0.35930000000000001</v>
      </c>
      <c r="P12" s="129">
        <f t="shared" si="4"/>
        <v>0.45429810641538509</v>
      </c>
      <c r="Q12" s="129">
        <v>0.30130000000000001</v>
      </c>
      <c r="R12" s="129">
        <v>0.45400000000000001</v>
      </c>
      <c r="S12" s="129">
        <f t="shared" si="5"/>
        <v>0.42249677844570982</v>
      </c>
      <c r="T12" s="129">
        <v>0.34610000000000002</v>
      </c>
      <c r="U12" s="129">
        <v>0.55940000000000001</v>
      </c>
      <c r="V12" s="129">
        <f t="shared" si="6"/>
        <v>0.39387576549234876</v>
      </c>
      <c r="W12" s="129">
        <v>0.39100000000000001</v>
      </c>
      <c r="X12" s="129">
        <v>0.67569999999999997</v>
      </c>
      <c r="Y12" s="129">
        <f t="shared" si="7"/>
        <v>0.36838586798242468</v>
      </c>
      <c r="Z12" s="129">
        <v>0.43580000000000002</v>
      </c>
      <c r="AA12" s="129">
        <v>0.80259999999999998</v>
      </c>
      <c r="AB12" s="129">
        <f t="shared" si="8"/>
        <v>0.34567517667305253</v>
      </c>
      <c r="AC12" s="129">
        <v>0.48049999999999998</v>
      </c>
      <c r="AD12" s="129">
        <v>0.94030000000000002</v>
      </c>
      <c r="AE12" s="129">
        <f t="shared" si="9"/>
        <v>0.32531723984113881</v>
      </c>
    </row>
    <row r="13" spans="1:31">
      <c r="A13" s="140">
        <f t="shared" si="10"/>
        <v>0.5</v>
      </c>
      <c r="B13" s="129">
        <v>3.27E-2</v>
      </c>
      <c r="C13" s="129">
        <v>5.5300000000000002E-2</v>
      </c>
      <c r="D13" s="129">
        <f t="shared" si="0"/>
        <v>0.47055756230605583</v>
      </c>
      <c r="E13" s="129">
        <v>7.8600000000000003E-2</v>
      </c>
      <c r="F13" s="129">
        <v>0.1036</v>
      </c>
      <c r="G13" s="129">
        <f t="shared" si="1"/>
        <v>0.60374413740458377</v>
      </c>
      <c r="H13" s="129">
        <v>0.1246</v>
      </c>
      <c r="I13" s="129">
        <v>0.16289999999999999</v>
      </c>
      <c r="J13" s="129">
        <f t="shared" si="2"/>
        <v>0.60867728389349784</v>
      </c>
      <c r="K13" s="129">
        <v>0.17069999999999999</v>
      </c>
      <c r="L13" s="129">
        <v>0.2331</v>
      </c>
      <c r="M13" s="129">
        <f t="shared" si="3"/>
        <v>0.58274879420391534</v>
      </c>
      <c r="N13" s="129">
        <v>0.21690000000000001</v>
      </c>
      <c r="O13" s="129">
        <v>0.31430000000000002</v>
      </c>
      <c r="P13" s="129">
        <f t="shared" si="4"/>
        <v>0.54916810621431911</v>
      </c>
      <c r="Q13" s="129">
        <v>0.2631</v>
      </c>
      <c r="R13" s="129">
        <v>0.40639999999999998</v>
      </c>
      <c r="S13" s="129">
        <f t="shared" si="5"/>
        <v>0.51517797154869183</v>
      </c>
      <c r="T13" s="129">
        <v>0.3095</v>
      </c>
      <c r="U13" s="129">
        <v>0.50939999999999996</v>
      </c>
      <c r="V13" s="129">
        <f t="shared" si="6"/>
        <v>0.48349484576895968</v>
      </c>
      <c r="W13" s="129">
        <v>0.35599999999999998</v>
      </c>
      <c r="X13" s="129">
        <v>0.62339999999999995</v>
      </c>
      <c r="Y13" s="129">
        <f t="shared" si="7"/>
        <v>0.45443663571314358</v>
      </c>
      <c r="Z13" s="129">
        <v>0.40260000000000001</v>
      </c>
      <c r="AA13" s="129">
        <v>0.74839999999999995</v>
      </c>
      <c r="AB13" s="129">
        <f t="shared" si="8"/>
        <v>0.42808511550505801</v>
      </c>
      <c r="AC13" s="129">
        <v>0.44919999999999999</v>
      </c>
      <c r="AD13" s="129">
        <v>0.88429999999999997</v>
      </c>
      <c r="AE13" s="129">
        <f t="shared" si="9"/>
        <v>0.40423159808254772</v>
      </c>
    </row>
    <row r="14" spans="1:31">
      <c r="A14" s="140">
        <f t="shared" si="10"/>
        <v>0.6</v>
      </c>
      <c r="B14" s="129"/>
      <c r="C14" s="129"/>
      <c r="D14" s="129"/>
      <c r="E14" s="129">
        <v>3.15E-2</v>
      </c>
      <c r="F14" s="129">
        <v>6.3899999999999998E-2</v>
      </c>
      <c r="G14" s="129">
        <f t="shared" si="1"/>
        <v>0.47073997252532424</v>
      </c>
      <c r="H14" s="129">
        <v>7.9000000000000001E-2</v>
      </c>
      <c r="I14" s="129">
        <v>0.1197</v>
      </c>
      <c r="J14" s="129">
        <f t="shared" si="2"/>
        <v>0.63023761926113941</v>
      </c>
      <c r="K14" s="129">
        <v>0.12659999999999999</v>
      </c>
      <c r="L14" s="129">
        <v>0.1867</v>
      </c>
      <c r="M14" s="129">
        <f t="shared" si="3"/>
        <v>0.64753130569150341</v>
      </c>
      <c r="N14" s="129">
        <v>0.17430000000000001</v>
      </c>
      <c r="O14" s="129">
        <v>0.26490000000000002</v>
      </c>
      <c r="P14" s="129">
        <f t="shared" si="4"/>
        <v>0.62832857487921523</v>
      </c>
      <c r="Q14" s="129">
        <v>0.22209999999999999</v>
      </c>
      <c r="R14" s="129">
        <v>0.3543</v>
      </c>
      <c r="S14" s="129">
        <f t="shared" si="5"/>
        <v>0.59861664455054953</v>
      </c>
      <c r="T14" s="129">
        <v>0.27010000000000001</v>
      </c>
      <c r="U14" s="129">
        <v>0.45479999999999998</v>
      </c>
      <c r="V14" s="129">
        <f t="shared" si="6"/>
        <v>0.56712071410449771</v>
      </c>
      <c r="W14" s="129">
        <v>0.31809999999999999</v>
      </c>
      <c r="X14" s="129">
        <v>0.5665</v>
      </c>
      <c r="Y14" s="129">
        <f t="shared" si="7"/>
        <v>0.53621028135073501</v>
      </c>
      <c r="Z14" s="129">
        <v>0.36630000000000001</v>
      </c>
      <c r="AA14" s="129">
        <v>0.68940000000000001</v>
      </c>
      <c r="AB14" s="129">
        <f t="shared" si="8"/>
        <v>0.50738429638434512</v>
      </c>
      <c r="AC14" s="129">
        <v>0.41460000000000002</v>
      </c>
      <c r="AD14" s="129">
        <v>0.82350000000000001</v>
      </c>
      <c r="AE14" s="129">
        <f t="shared" si="9"/>
        <v>0.48076968601748488</v>
      </c>
    </row>
    <row r="15" spans="1:31">
      <c r="A15" s="140">
        <f t="shared" si="10"/>
        <v>0.7</v>
      </c>
      <c r="B15" s="129"/>
      <c r="C15" s="129"/>
      <c r="D15" s="129"/>
      <c r="E15" s="129"/>
      <c r="F15" s="129"/>
      <c r="G15" s="129"/>
      <c r="H15" s="129">
        <v>2.9700000000000001E-2</v>
      </c>
      <c r="I15" s="129">
        <v>7.2499999999999995E-2</v>
      </c>
      <c r="J15" s="129">
        <f t="shared" si="2"/>
        <v>0.45639051956972476</v>
      </c>
      <c r="K15" s="129">
        <v>7.9200000000000007E-2</v>
      </c>
      <c r="L15" s="129">
        <v>0.1361</v>
      </c>
      <c r="M15" s="129">
        <f t="shared" si="3"/>
        <v>0.64831374320460533</v>
      </c>
      <c r="N15" s="129">
        <v>0.12870000000000001</v>
      </c>
      <c r="O15" s="129">
        <v>0.2112</v>
      </c>
      <c r="P15" s="129">
        <f t="shared" si="4"/>
        <v>0.67889530412636612</v>
      </c>
      <c r="Q15" s="129">
        <v>0.1782</v>
      </c>
      <c r="R15" s="129">
        <v>0.29759999999999998</v>
      </c>
      <c r="S15" s="129">
        <f t="shared" si="5"/>
        <v>0.6671030780001016</v>
      </c>
      <c r="T15" s="129">
        <v>0.2278</v>
      </c>
      <c r="U15" s="129">
        <v>0.39550000000000002</v>
      </c>
      <c r="V15" s="129">
        <f t="shared" si="6"/>
        <v>0.64169019533334082</v>
      </c>
      <c r="W15" s="129">
        <v>0.27739999999999998</v>
      </c>
      <c r="X15" s="129">
        <v>0.50490000000000002</v>
      </c>
      <c r="Y15" s="129">
        <f t="shared" si="7"/>
        <v>0.61209560011060082</v>
      </c>
      <c r="Z15" s="129">
        <v>0.3271</v>
      </c>
      <c r="AA15" s="129">
        <v>0.62570000000000003</v>
      </c>
      <c r="AB15" s="129">
        <f t="shared" si="8"/>
        <v>0.5824150123022418</v>
      </c>
      <c r="AC15" s="129">
        <v>0.37680000000000002</v>
      </c>
      <c r="AD15" s="129">
        <v>0.75790000000000002</v>
      </c>
      <c r="AE15" s="129">
        <f t="shared" si="9"/>
        <v>0.55388188138169048</v>
      </c>
    </row>
    <row r="16" spans="1:31">
      <c r="A16" s="140">
        <f t="shared" si="10"/>
        <v>0.79999999999999993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>
        <v>2.8400000000000002E-2</v>
      </c>
      <c r="L16" s="129">
        <v>8.1299999999999997E-2</v>
      </c>
      <c r="M16" s="129">
        <f t="shared" si="3"/>
        <v>0.44477248549174198</v>
      </c>
      <c r="N16" s="129">
        <v>0.08</v>
      </c>
      <c r="O16" s="129">
        <v>0.153</v>
      </c>
      <c r="P16" s="129">
        <f t="shared" si="4"/>
        <v>0.66574616718178448</v>
      </c>
      <c r="Q16" s="129">
        <v>0.13139999999999999</v>
      </c>
      <c r="R16" s="129">
        <v>0.23649999999999999</v>
      </c>
      <c r="S16" s="129">
        <f t="shared" si="5"/>
        <v>0.70741512126088957</v>
      </c>
      <c r="T16" s="129">
        <v>0.1827</v>
      </c>
      <c r="U16" s="129">
        <v>0.33169999999999999</v>
      </c>
      <c r="V16" s="129">
        <f t="shared" si="6"/>
        <v>0.70129895937025699</v>
      </c>
      <c r="W16" s="129">
        <v>0.23380000000000001</v>
      </c>
      <c r="X16" s="129">
        <v>0.4385</v>
      </c>
      <c r="Y16" s="129">
        <f t="shared" si="7"/>
        <v>0.67886751552812097</v>
      </c>
      <c r="Z16" s="129">
        <v>0.2848</v>
      </c>
      <c r="AA16" s="129">
        <v>0.55710000000000004</v>
      </c>
      <c r="AB16" s="129">
        <f t="shared" si="8"/>
        <v>0.65090400707336971</v>
      </c>
      <c r="AC16" s="129">
        <v>0.3357</v>
      </c>
      <c r="AD16" s="129">
        <v>0.6875</v>
      </c>
      <c r="AE16" s="129">
        <f t="shared" si="9"/>
        <v>0.62171129478922782</v>
      </c>
    </row>
    <row r="17" spans="1:31">
      <c r="A17" s="140">
        <f t="shared" si="10"/>
        <v>0.89999999999999991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>
        <v>2.8299999999999999E-2</v>
      </c>
      <c r="O17" s="129">
        <v>9.06E-2</v>
      </c>
      <c r="P17" s="129">
        <f t="shared" si="4"/>
        <v>0.4474256512748977</v>
      </c>
      <c r="Q17" s="129">
        <v>8.1799999999999998E-2</v>
      </c>
      <c r="R17" s="129">
        <v>0.17080000000000001</v>
      </c>
      <c r="S17" s="129">
        <f t="shared" si="5"/>
        <v>0.68600625939258375</v>
      </c>
      <c r="T17" s="129">
        <v>0.1348</v>
      </c>
      <c r="U17" s="129">
        <v>0.26319999999999999</v>
      </c>
      <c r="V17" s="129">
        <f t="shared" si="6"/>
        <v>0.73361237446461769</v>
      </c>
      <c r="W17" s="129">
        <v>0.18740000000000001</v>
      </c>
      <c r="X17" s="129">
        <v>0.36749999999999999</v>
      </c>
      <c r="Y17" s="129">
        <f t="shared" si="7"/>
        <v>0.73042374698990653</v>
      </c>
      <c r="Z17" s="129">
        <v>0.23960000000000001</v>
      </c>
      <c r="AA17" s="129">
        <v>0.4839</v>
      </c>
      <c r="AB17" s="129">
        <f t="shared" si="8"/>
        <v>0.70924099872569335</v>
      </c>
      <c r="AC17" s="129">
        <v>0.2913</v>
      </c>
      <c r="AD17" s="129">
        <v>0.61219999999999997</v>
      </c>
      <c r="AE17" s="129">
        <f t="shared" si="9"/>
        <v>0.68156895508660886</v>
      </c>
    </row>
    <row r="18" spans="1:31">
      <c r="A18" s="140">
        <f t="shared" si="10"/>
        <v>0.99999999999999989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>
        <v>2.92E-2</v>
      </c>
      <c r="R18" s="129">
        <v>0.1007</v>
      </c>
      <c r="S18" s="129">
        <f t="shared" si="5"/>
        <v>0.46150192038563492</v>
      </c>
      <c r="T18" s="129">
        <v>8.4099999999999994E-2</v>
      </c>
      <c r="U18" s="129">
        <v>0.19</v>
      </c>
      <c r="V18" s="129">
        <f t="shared" si="6"/>
        <v>0.70447003758044191</v>
      </c>
      <c r="W18" s="129">
        <v>0.1381</v>
      </c>
      <c r="X18" s="129">
        <v>0.29170000000000001</v>
      </c>
      <c r="Y18" s="129">
        <f t="shared" si="7"/>
        <v>0.75348980599899706</v>
      </c>
      <c r="Z18" s="129">
        <v>0.1913</v>
      </c>
      <c r="AA18" s="129">
        <v>0.40579999999999999</v>
      </c>
      <c r="AB18" s="129">
        <f t="shared" si="8"/>
        <v>0.75027946312172433</v>
      </c>
      <c r="AC18" s="129">
        <v>0.2437</v>
      </c>
      <c r="AD18" s="129">
        <v>0.53220000000000001</v>
      </c>
      <c r="AE18" s="129">
        <f t="shared" si="9"/>
        <v>0.7287872910840828</v>
      </c>
    </row>
    <row r="19" spans="1:31">
      <c r="A19" s="140">
        <f t="shared" si="10"/>
        <v>1.0999999999999999</v>
      </c>
      <c r="T19" s="129">
        <v>3.0499999999999999E-2</v>
      </c>
      <c r="U19" s="129">
        <v>0.1123</v>
      </c>
      <c r="V19" s="129">
        <f t="shared" si="6"/>
        <v>0.47548070710000784</v>
      </c>
      <c r="W19" s="129">
        <v>8.5900000000000004E-2</v>
      </c>
      <c r="X19" s="129">
        <v>0.21129999999999999</v>
      </c>
      <c r="Y19" s="129">
        <f t="shared" si="7"/>
        <v>0.71171559738538537</v>
      </c>
      <c r="Z19" s="129">
        <v>0.14000000000000001</v>
      </c>
      <c r="AA19" s="129">
        <v>0.32290000000000002</v>
      </c>
      <c r="AB19" s="129">
        <f t="shared" si="8"/>
        <v>0.75905423462842625</v>
      </c>
      <c r="AC19" s="129">
        <v>0.1928</v>
      </c>
      <c r="AD19" s="129">
        <v>0.44740000000000002</v>
      </c>
      <c r="AE19" s="129">
        <f t="shared" si="9"/>
        <v>0.7544385411472766</v>
      </c>
    </row>
    <row r="20" spans="1:31">
      <c r="A20" s="140">
        <f t="shared" si="10"/>
        <v>1.2</v>
      </c>
      <c r="W20" s="129">
        <v>3.0800000000000001E-2</v>
      </c>
      <c r="X20" s="129">
        <v>0.12609999999999999</v>
      </c>
      <c r="Y20" s="129">
        <f t="shared" si="7"/>
        <v>0.4664842741218439</v>
      </c>
      <c r="Z20" s="129">
        <v>8.5699999999999998E-2</v>
      </c>
      <c r="AA20" s="129">
        <v>0.23530000000000001</v>
      </c>
      <c r="AB20" s="129">
        <f t="shared" si="8"/>
        <v>0.69560111974375327</v>
      </c>
      <c r="AC20" s="129">
        <v>0.1386</v>
      </c>
      <c r="AD20" s="129">
        <v>0.35770000000000002</v>
      </c>
      <c r="AE20" s="129">
        <f t="shared" si="9"/>
        <v>0.74002376670517267</v>
      </c>
    </row>
    <row r="21" spans="1:31">
      <c r="A21" s="140">
        <f t="shared" si="10"/>
        <v>1.3</v>
      </c>
      <c r="Z21" s="129">
        <v>2.8400000000000002E-2</v>
      </c>
      <c r="AA21" s="129">
        <v>0.1429</v>
      </c>
      <c r="AB21" s="129">
        <f t="shared" si="8"/>
        <v>0.41119667592391718</v>
      </c>
      <c r="AC21" s="129">
        <v>8.1199999999999994E-2</v>
      </c>
      <c r="AD21" s="129">
        <v>0.26319999999999999</v>
      </c>
      <c r="AE21" s="129">
        <f t="shared" si="9"/>
        <v>0.63831291006004831</v>
      </c>
    </row>
    <row r="22" spans="1:31">
      <c r="A22" s="140">
        <f t="shared" si="10"/>
        <v>1.4000000000000001</v>
      </c>
      <c r="AC22" s="129">
        <v>2.0500000000000001E-2</v>
      </c>
      <c r="AD22" s="129">
        <v>0.16400000000000001</v>
      </c>
      <c r="AE22" s="129">
        <f t="shared" si="9"/>
        <v>0.27852115041081688</v>
      </c>
    </row>
  </sheetData>
  <mergeCells count="12">
    <mergeCell ref="Z6:AB6"/>
    <mergeCell ref="AC6:AE6"/>
    <mergeCell ref="A3:AD3"/>
    <mergeCell ref="A4:AD4"/>
    <mergeCell ref="B6:D6"/>
    <mergeCell ref="E6:G6"/>
    <mergeCell ref="H6:J6"/>
    <mergeCell ref="K6:M6"/>
    <mergeCell ref="N6:P6"/>
    <mergeCell ref="Q6:S6"/>
    <mergeCell ref="T6:V6"/>
    <mergeCell ref="W6:Y6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O76"/>
  <sheetViews>
    <sheetView topLeftCell="A16" workbookViewId="0">
      <selection activeCell="D67" sqref="D67"/>
    </sheetView>
  </sheetViews>
  <sheetFormatPr defaultRowHeight="12.75"/>
  <sheetData>
    <row r="5" spans="2:12">
      <c r="B5" t="s">
        <v>132</v>
      </c>
    </row>
    <row r="7" spans="2:12">
      <c r="D7" s="144">
        <f>+'Velocidade de 9 nós'!U10</f>
        <v>9.5639966979604694</v>
      </c>
    </row>
    <row r="11" spans="2:12">
      <c r="C11" t="s">
        <v>65</v>
      </c>
      <c r="D11">
        <v>0.2</v>
      </c>
      <c r="E11">
        <f>+D11+0.1</f>
        <v>0.30000000000000004</v>
      </c>
      <c r="F11">
        <f t="shared" ref="F11:K11" si="0">+E11+0.1</f>
        <v>0.4</v>
      </c>
      <c r="G11">
        <f t="shared" si="0"/>
        <v>0.5</v>
      </c>
      <c r="H11">
        <f t="shared" si="0"/>
        <v>0.6</v>
      </c>
      <c r="I11">
        <f t="shared" si="0"/>
        <v>0.7</v>
      </c>
      <c r="J11">
        <f>+I11+0.1</f>
        <v>0.79999999999999993</v>
      </c>
      <c r="K11">
        <f t="shared" si="0"/>
        <v>0.89999999999999991</v>
      </c>
      <c r="L11">
        <f>+K11+0.1</f>
        <v>0.99999999999999989</v>
      </c>
    </row>
    <row r="12" spans="2:12">
      <c r="C12" t="s">
        <v>133</v>
      </c>
      <c r="D12" s="135">
        <f>+($D$7*D11^5)*10</f>
        <v>3.0604789433473521E-2</v>
      </c>
      <c r="E12" s="135">
        <f t="shared" ref="E12:L12" si="1">+($D$7*E11^5)*10</f>
        <v>0.23240511976043957</v>
      </c>
      <c r="F12" s="135">
        <f t="shared" si="1"/>
        <v>0.97935326187115268</v>
      </c>
      <c r="G12" s="135">
        <f t="shared" si="1"/>
        <v>2.9887489681126467</v>
      </c>
      <c r="H12" s="135">
        <f t="shared" si="1"/>
        <v>7.4369638323340599</v>
      </c>
      <c r="I12" s="135">
        <f t="shared" si="1"/>
        <v>16.074209250262154</v>
      </c>
      <c r="J12" s="135">
        <f t="shared" si="1"/>
        <v>31.33930437987685</v>
      </c>
      <c r="K12" s="135">
        <f t="shared" si="1"/>
        <v>56.474444101786744</v>
      </c>
      <c r="L12" s="135">
        <f t="shared" si="1"/>
        <v>95.639966979604637</v>
      </c>
    </row>
    <row r="13" spans="2:12">
      <c r="D13" s="135"/>
      <c r="E13" s="135"/>
      <c r="F13" s="135"/>
      <c r="G13" s="135"/>
      <c r="H13" s="135"/>
      <c r="I13" s="135"/>
      <c r="J13" s="135"/>
      <c r="K13" s="135"/>
      <c r="L13" s="135"/>
    </row>
    <row r="38" spans="6:8">
      <c r="F38" s="145">
        <v>-0.17599999999999999</v>
      </c>
      <c r="G38" s="145">
        <v>-0.16600000000000001</v>
      </c>
      <c r="H38" s="145">
        <v>0.182</v>
      </c>
    </row>
    <row r="39" spans="6:8">
      <c r="F39" s="145">
        <v>-0.18</v>
      </c>
      <c r="G39" s="145">
        <v>-0.19500000000000001</v>
      </c>
      <c r="H39" s="145">
        <v>0.245</v>
      </c>
    </row>
    <row r="40" spans="6:8">
      <c r="F40" s="145">
        <v>-0.2</v>
      </c>
      <c r="G40" s="145">
        <v>-0.21099999999999999</v>
      </c>
      <c r="H40" s="145">
        <v>0.318</v>
      </c>
    </row>
    <row r="41" spans="6:8">
      <c r="F41" s="145">
        <v>-0.21</v>
      </c>
      <c r="G41" s="145">
        <v>-0.23300000000000001</v>
      </c>
      <c r="H41" s="145">
        <v>0.40200000000000002</v>
      </c>
    </row>
    <row r="42" spans="6:8">
      <c r="F42" s="145">
        <v>-0.218</v>
      </c>
      <c r="G42" s="145">
        <v>-0.253</v>
      </c>
      <c r="H42" s="145">
        <v>0.495</v>
      </c>
    </row>
    <row r="43" spans="6:8">
      <c r="F43" s="145">
        <v>-0.22500000000000001</v>
      </c>
      <c r="G43" s="145">
        <v>-0.27300000000000002</v>
      </c>
      <c r="H43" s="145">
        <v>0.59899999999999998</v>
      </c>
    </row>
    <row r="44" spans="6:8">
      <c r="F44" s="145">
        <v>-0.23100000000000001</v>
      </c>
      <c r="G44" s="145">
        <v>-0.29199999999999998</v>
      </c>
      <c r="H44" s="145">
        <v>0.71299999999999997</v>
      </c>
    </row>
    <row r="45" spans="6:8">
      <c r="F45" s="145">
        <v>-0.23499999999999999</v>
      </c>
      <c r="G45" s="145">
        <v>-0.31</v>
      </c>
      <c r="H45" s="145">
        <v>0.83699999999999997</v>
      </c>
    </row>
    <row r="46" spans="6:8">
      <c r="F46" s="145">
        <v>-0.23799999999999999</v>
      </c>
      <c r="G46" s="145">
        <v>-0.32700000000000001</v>
      </c>
      <c r="H46" s="145">
        <v>0.97099999999999997</v>
      </c>
    </row>
    <row r="47" spans="6:8">
      <c r="F47" s="145">
        <v>-0.24</v>
      </c>
      <c r="G47" s="145">
        <v>-0.34300000000000003</v>
      </c>
      <c r="H47" s="145">
        <v>1.1160000000000001</v>
      </c>
    </row>
    <row r="50" spans="2:15">
      <c r="B50" s="197" t="s">
        <v>139</v>
      </c>
      <c r="C50" s="197"/>
      <c r="D50" s="197"/>
      <c r="E50" s="197"/>
      <c r="F50">
        <v>45.19</v>
      </c>
      <c r="G50">
        <v>-22.01</v>
      </c>
      <c r="H50">
        <v>2.661</v>
      </c>
    </row>
    <row r="52" spans="2:15">
      <c r="F52" s="139" t="s">
        <v>124</v>
      </c>
      <c r="G52" s="139" t="s">
        <v>125</v>
      </c>
      <c r="H52" s="139" t="s">
        <v>126</v>
      </c>
    </row>
    <row r="53" spans="2:15">
      <c r="F53" s="145">
        <f>+F38-$F$50</f>
        <v>-45.366</v>
      </c>
      <c r="G53" s="145">
        <f>+G38-$G$50</f>
        <v>21.844000000000001</v>
      </c>
      <c r="H53" s="145">
        <f>+H38-$H$50</f>
        <v>-2.4790000000000001</v>
      </c>
      <c r="K53" s="141" t="s">
        <v>127</v>
      </c>
      <c r="L53" s="135">
        <f>+(-G53-SQRT(G53^2-4*F53*H53))/(2*F53)</f>
        <v>0.298351192332384</v>
      </c>
      <c r="N53" s="141" t="s">
        <v>134</v>
      </c>
      <c r="O53" s="135">
        <f>+F38*L53^2+G38*L53+H38</f>
        <v>0.11680733769478094</v>
      </c>
    </row>
    <row r="54" spans="2:15">
      <c r="F54" s="145">
        <f t="shared" ref="F54:F62" si="2">+F39-$F$50</f>
        <v>-45.37</v>
      </c>
      <c r="G54" s="145">
        <f t="shared" ref="G54:G62" si="3">+G39-$G$50</f>
        <v>21.815000000000001</v>
      </c>
      <c r="H54" s="145">
        <f t="shared" ref="H54:H62" si="4">+H39-$H$50</f>
        <v>-2.4159999999999999</v>
      </c>
      <c r="L54" s="135">
        <f t="shared" ref="L54:L61" si="5">+(-G54-SQRT(G54^2-4*F54*H54))/(2*F54)</f>
        <v>0.30784333832652927</v>
      </c>
      <c r="O54" s="135">
        <f t="shared" ref="O54:O61" si="6">+G39*L54^2+H39*L54+I39</f>
        <v>5.6941951304355379E-2</v>
      </c>
    </row>
    <row r="55" spans="2:15">
      <c r="F55" s="145">
        <f t="shared" si="2"/>
        <v>-45.39</v>
      </c>
      <c r="G55" s="145">
        <f t="shared" si="3"/>
        <v>21.799000000000003</v>
      </c>
      <c r="H55" s="145">
        <f t="shared" si="4"/>
        <v>-2.343</v>
      </c>
      <c r="L55" s="135">
        <f t="shared" si="5"/>
        <v>0.3178674278620402</v>
      </c>
      <c r="O55" s="135">
        <f t="shared" si="6"/>
        <v>7.9762465002350999E-2</v>
      </c>
    </row>
    <row r="56" spans="2:15">
      <c r="F56" s="145">
        <f t="shared" si="2"/>
        <v>-45.4</v>
      </c>
      <c r="G56" s="145">
        <f t="shared" si="3"/>
        <v>21.777000000000001</v>
      </c>
      <c r="H56" s="145">
        <f t="shared" si="4"/>
        <v>-2.2589999999999999</v>
      </c>
      <c r="L56" s="135">
        <f t="shared" si="5"/>
        <v>0.3279428200417891</v>
      </c>
      <c r="O56" s="135">
        <f t="shared" si="6"/>
        <v>0.10677468073724725</v>
      </c>
    </row>
    <row r="57" spans="2:15">
      <c r="F57" s="145">
        <f t="shared" si="2"/>
        <v>-45.408000000000001</v>
      </c>
      <c r="G57" s="145">
        <f t="shared" si="3"/>
        <v>21.757000000000001</v>
      </c>
      <c r="H57" s="145">
        <f t="shared" si="4"/>
        <v>-2.1659999999999999</v>
      </c>
      <c r="L57" s="135">
        <f t="shared" si="5"/>
        <v>0.33803069818799847</v>
      </c>
      <c r="O57" s="135">
        <f t="shared" si="6"/>
        <v>0.13841621311494043</v>
      </c>
    </row>
    <row r="58" spans="2:15">
      <c r="F58" s="145">
        <f t="shared" si="2"/>
        <v>-45.414999999999999</v>
      </c>
      <c r="G58" s="145">
        <f t="shared" si="3"/>
        <v>21.737000000000002</v>
      </c>
      <c r="H58" s="145">
        <f t="shared" si="4"/>
        <v>-2.0620000000000003</v>
      </c>
      <c r="L58" s="135">
        <f t="shared" si="5"/>
        <v>0.3482567753960128</v>
      </c>
      <c r="O58" s="135">
        <f t="shared" si="6"/>
        <v>0.17549560908289216</v>
      </c>
    </row>
    <row r="59" spans="2:15">
      <c r="F59" s="145">
        <f t="shared" si="2"/>
        <v>-45.420999999999999</v>
      </c>
      <c r="G59" s="145">
        <f t="shared" si="3"/>
        <v>21.718</v>
      </c>
      <c r="H59" s="145">
        <f t="shared" si="4"/>
        <v>-1.948</v>
      </c>
      <c r="L59" s="135">
        <f t="shared" si="5"/>
        <v>0.358527085749903</v>
      </c>
      <c r="O59" s="135">
        <f t="shared" si="6"/>
        <v>0.2180956441445159</v>
      </c>
    </row>
    <row r="60" spans="2:15">
      <c r="F60" s="145">
        <f t="shared" si="2"/>
        <v>-45.424999999999997</v>
      </c>
      <c r="G60" s="145">
        <f t="shared" si="3"/>
        <v>21.700000000000003</v>
      </c>
      <c r="H60" s="145">
        <f t="shared" si="4"/>
        <v>-1.8240000000000001</v>
      </c>
      <c r="L60" s="135">
        <f t="shared" si="5"/>
        <v>0.36884653683070412</v>
      </c>
      <c r="O60" s="135">
        <f t="shared" si="6"/>
        <v>0.26654974333037806</v>
      </c>
    </row>
    <row r="61" spans="2:15">
      <c r="F61" s="145">
        <f t="shared" si="2"/>
        <v>-45.427999999999997</v>
      </c>
      <c r="G61" s="145">
        <f t="shared" si="3"/>
        <v>21.683</v>
      </c>
      <c r="H61" s="145">
        <f t="shared" si="4"/>
        <v>-1.69</v>
      </c>
      <c r="L61" s="135">
        <f t="shared" si="5"/>
        <v>0.37919855516055562</v>
      </c>
      <c r="O61" s="135">
        <f t="shared" si="6"/>
        <v>0.3211819620957756</v>
      </c>
    </row>
    <row r="62" spans="2:15">
      <c r="F62" s="145">
        <f t="shared" si="2"/>
        <v>-45.43</v>
      </c>
      <c r="G62" s="145">
        <f t="shared" si="3"/>
        <v>21.667000000000002</v>
      </c>
      <c r="H62" s="145">
        <f t="shared" si="4"/>
        <v>-1.5449999999999999</v>
      </c>
    </row>
    <row r="65" spans="2:11">
      <c r="B65" s="125" t="s">
        <v>91</v>
      </c>
      <c r="C65">
        <v>0.6</v>
      </c>
      <c r="D65">
        <f>+C65+0.1</f>
        <v>0.7</v>
      </c>
      <c r="E65">
        <f t="shared" ref="E65:K65" si="7">+D65+0.1</f>
        <v>0.79999999999999993</v>
      </c>
      <c r="F65">
        <f t="shared" si="7"/>
        <v>0.89999999999999991</v>
      </c>
      <c r="G65">
        <f t="shared" si="7"/>
        <v>0.99999999999999989</v>
      </c>
      <c r="H65">
        <f t="shared" si="7"/>
        <v>1.0999999999999999</v>
      </c>
      <c r="I65">
        <f t="shared" si="7"/>
        <v>1.2</v>
      </c>
      <c r="J65">
        <f>+I65+0.1</f>
        <v>1.3</v>
      </c>
      <c r="K65">
        <f t="shared" si="7"/>
        <v>1.4000000000000001</v>
      </c>
    </row>
    <row r="66" spans="2:11">
      <c r="B66" s="125" t="s">
        <v>65</v>
      </c>
      <c r="C66" s="135">
        <f>+L53</f>
        <v>0.298351192332384</v>
      </c>
      <c r="D66" s="135">
        <f>+L54</f>
        <v>0.30784333832652927</v>
      </c>
      <c r="E66" s="135">
        <f>+L55</f>
        <v>0.3178674278620402</v>
      </c>
      <c r="F66" s="135">
        <f>+L56</f>
        <v>0.3279428200417891</v>
      </c>
      <c r="G66" s="135">
        <f>+L57</f>
        <v>0.33803069818799847</v>
      </c>
      <c r="H66" s="135">
        <f>+L58</f>
        <v>0.3482567753960128</v>
      </c>
      <c r="I66" s="135">
        <f>+L59</f>
        <v>0.358527085749903</v>
      </c>
      <c r="J66" s="135">
        <f>+L60</f>
        <v>0.36884653683070412</v>
      </c>
      <c r="K66" s="135">
        <f>+L61</f>
        <v>0.37919855516055562</v>
      </c>
    </row>
    <row r="67" spans="2:11">
      <c r="B67" s="125" t="s">
        <v>110</v>
      </c>
      <c r="C67" s="135">
        <f>+Tabela!E11-(Tabela!E11-Tabela!E10)*((Tabela!A11-KQ!C66)/(Tabela!A11-Tabela!A10))</f>
        <v>0.16087048745299515</v>
      </c>
      <c r="D67" s="135">
        <f>Tabela!H12-(Tabela!H12-Tabela!H11)*((Tabela!A12-D66)/(Tabela!A12-Tabela!A11))</f>
        <v>0.20170384475926584</v>
      </c>
      <c r="E67" s="135">
        <f>+Tabela!K12-(Tabela!K12-Tabela!K11)*((Tabela!A12-E66)/(Tabela!A12-Tabela!A11))</f>
        <v>0.242217581979597</v>
      </c>
      <c r="F67" s="135">
        <f>+Tabela!N12-(Tabela!N12-Tabela!N11)*((Tabela!A12-F66)/(Tabela!A12-Tabela!A11))</f>
        <v>0.28270087068474697</v>
      </c>
      <c r="G67" s="135">
        <f>+Tabela!Q12-(Tabela!Q12-Tabela!Q11)*((Tabela!A12-G66)/(Tabela!A12-Tabela!A11))</f>
        <v>0.32311319423782459</v>
      </c>
      <c r="H67" s="135">
        <f>+Tabela!T12-(Tabela!T12-Tabela!T11)*((Tabela!A12-H66)/(Tabela!A12-Tabela!A11))</f>
        <v>0.36358920991614768</v>
      </c>
      <c r="I67" s="135">
        <f>+Tabela!W12-(Tabela!W12-Tabela!W11)*((Tabela!A12-I66)/(Tabela!A12-Tabela!A11))</f>
        <v>0.40431280547428117</v>
      </c>
      <c r="J67" s="135">
        <f>+Tabela!Z12-(Tabela!Z12-Tabela!Z11)*((Tabela!A12-J66)/(Tabela!A12-Tabela!A11))</f>
        <v>0.44517719241395809</v>
      </c>
      <c r="K67" s="135">
        <f>+Tabela!AC12-(Tabela!AC12-Tabela!AC11)*((Tabela!A12-KQ!K66)/(Tabela!A12-Tabela!A11))</f>
        <v>0.4863452059998839</v>
      </c>
    </row>
    <row r="68" spans="2:11">
      <c r="B68" s="125" t="s">
        <v>111</v>
      </c>
      <c r="C68" s="135">
        <f>+O53</f>
        <v>0.11680733769478094</v>
      </c>
      <c r="D68" s="135">
        <f>+O54</f>
        <v>5.6941951304355379E-2</v>
      </c>
      <c r="E68" s="135">
        <f>+O55</f>
        <v>7.9762465002350999E-2</v>
      </c>
      <c r="F68" s="135">
        <f>+O56</f>
        <v>0.10677468073724725</v>
      </c>
      <c r="G68" s="135">
        <f>+O57</f>
        <v>0.13841621311494043</v>
      </c>
      <c r="H68" s="135">
        <f>+O58</f>
        <v>0.17549560908289216</v>
      </c>
      <c r="I68" s="135">
        <f>+O59</f>
        <v>0.2180956441445159</v>
      </c>
      <c r="J68" s="135">
        <f>+O60</f>
        <v>0.26654974333037806</v>
      </c>
      <c r="K68" s="135">
        <f>+O61</f>
        <v>0.3211819620957756</v>
      </c>
    </row>
    <row r="69" spans="2:11">
      <c r="B69" s="125" t="s">
        <v>115</v>
      </c>
      <c r="C69" s="135">
        <f>+C67*C66/((C68/10)*2*PI())</f>
        <v>0.65396448213405345</v>
      </c>
      <c r="D69" s="135">
        <f t="shared" ref="D69:K69" si="8">+D67*D66/((D68/10)*2*PI())</f>
        <v>1.7355283910363675</v>
      </c>
      <c r="E69" s="135">
        <f t="shared" si="8"/>
        <v>1.5362901871696661</v>
      </c>
      <c r="F69" s="135">
        <f>+F67*F66/((F68/10)*2*PI())</f>
        <v>1.3819016109289652</v>
      </c>
      <c r="G69" s="135">
        <f t="shared" si="8"/>
        <v>1.2558680254964032</v>
      </c>
      <c r="H69" s="135">
        <f t="shared" si="8"/>
        <v>1.1483239892341834</v>
      </c>
      <c r="I69" s="135">
        <f t="shared" si="8"/>
        <v>1.0578220302892571</v>
      </c>
      <c r="J69" s="135">
        <f t="shared" si="8"/>
        <v>0.98043877646245159</v>
      </c>
      <c r="K69" s="135">
        <f t="shared" si="8"/>
        <v>0.91386132455248248</v>
      </c>
    </row>
    <row r="72" spans="2:11">
      <c r="B72" s="125" t="s">
        <v>135</v>
      </c>
    </row>
    <row r="74" spans="2:11">
      <c r="C74" s="196" t="s">
        <v>140</v>
      </c>
      <c r="D74" s="196"/>
      <c r="E74" s="196"/>
      <c r="F74" s="196"/>
      <c r="G74" s="196"/>
    </row>
    <row r="75" spans="2:11">
      <c r="C75" s="146" t="s">
        <v>136</v>
      </c>
    </row>
    <row r="76" spans="2:11">
      <c r="C76" s="141" t="s">
        <v>137</v>
      </c>
      <c r="D76" s="144">
        <v>0.33093800000000001</v>
      </c>
    </row>
  </sheetData>
  <mergeCells count="2">
    <mergeCell ref="C74:G74"/>
    <mergeCell ref="B50:E50"/>
  </mergeCells>
  <pageMargins left="0.7" right="0.7" top="0.75" bottom="0.75" header="0.3" footer="0.3"/>
  <pageSetup paperSize="9" orientation="portrait" r:id="rId1"/>
  <drawing r:id="rId2"/>
  <legacyDrawing r:id="rId3"/>
  <oleObjects>
    <oleObject progId="Equation.DSMT4" shapeId="409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2</vt:i4>
      </vt:variant>
    </vt:vector>
  </HeadingPairs>
  <TitlesOfParts>
    <vt:vector size="8" baseType="lpstr">
      <vt:lpstr>Velocidade de 9 nós</vt:lpstr>
      <vt:lpstr>Calculo do Thrust</vt:lpstr>
      <vt:lpstr>Sheet3</vt:lpstr>
      <vt:lpstr>Kt</vt:lpstr>
      <vt:lpstr>Tabela</vt:lpstr>
      <vt:lpstr>KQ</vt:lpstr>
      <vt:lpstr>'Calculo do Thrust'!Área_de_Impressão</vt:lpstr>
      <vt:lpstr>Kt!Área_de_Impressão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Frederico O. Fernandes</dc:creator>
  <cp:lastModifiedBy>Albano</cp:lastModifiedBy>
  <cp:lastPrinted>2010-02-24T16:32:53Z</cp:lastPrinted>
  <dcterms:created xsi:type="dcterms:W3CDTF">2009-01-06T17:21:35Z</dcterms:created>
  <dcterms:modified xsi:type="dcterms:W3CDTF">2010-09-23T13:00:10Z</dcterms:modified>
</cp:coreProperties>
</file>