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506" windowWidth="9720" windowHeight="4290" tabRatio="599" activeTab="0"/>
  </bookViews>
  <sheets>
    <sheet name="CAI - Global" sheetId="1" r:id="rId1"/>
    <sheet name="Current" sheetId="2" r:id="rId2"/>
  </sheets>
  <definedNames>
    <definedName name="\a">'CAI - Global'!$A$116:$A$119</definedName>
    <definedName name="\b">'CAI - Global'!$A$139:$A$149</definedName>
    <definedName name="\p">'CAI - Global'!#REF!</definedName>
    <definedName name="__123Graph_A" hidden="1">'CAI - Global'!$Z$176:$Z$183</definedName>
    <definedName name="__123Graph_LBL_A" hidden="1">'CAI - Global'!$Z$176:$Z$176</definedName>
    <definedName name="_xlnm.Print_Area" localSheetId="0">'CAI - Global'!$R$190:$AA$248</definedName>
    <definedName name="_xlnm.Print_Area">'CAI - Global'!$R$190:$AA$248</definedName>
    <definedName name="Print_Area_MI" localSheetId="0">'CAI - Global'!$R$190:$AA$248</definedName>
    <definedName name="PRINT_AREA_MI">'CAI - Global'!$R$190:$AA$248</definedName>
  </definedNames>
  <calcPr fullCalcOnLoad="1"/>
</workbook>
</file>

<file path=xl/sharedStrings.xml><?xml version="1.0" encoding="utf-8"?>
<sst xmlns="http://schemas.openxmlformats.org/spreadsheetml/2006/main" count="2356" uniqueCount="856">
  <si>
    <t xml:space="preserve"> </t>
  </si>
  <si>
    <t>Pag.001</t>
  </si>
  <si>
    <t>A</t>
  </si>
  <si>
    <t>Pag.002</t>
  </si>
  <si>
    <t xml:space="preserve">     CUSTOS DA ÁREA TÉCNICA </t>
  </si>
  <si>
    <t>Pag.003</t>
  </si>
  <si>
    <t>Pag.004</t>
  </si>
  <si>
    <t>Moeda</t>
  </si>
  <si>
    <t xml:space="preserve"> 1 USD  = </t>
  </si>
  <si>
    <t>USD</t>
  </si>
  <si>
    <t>Pag.005</t>
  </si>
  <si>
    <t>Pag.006</t>
  </si>
  <si>
    <t>Pag.007</t>
  </si>
  <si>
    <t>Pag.008</t>
  </si>
  <si>
    <t>Pag.009</t>
  </si>
  <si>
    <t>Pag.010</t>
  </si>
  <si>
    <t>Pag.011</t>
  </si>
  <si>
    <t>Pag.012</t>
  </si>
  <si>
    <t>Pag.013</t>
  </si>
  <si>
    <t>Pag.014</t>
  </si>
  <si>
    <t>Pag.015</t>
  </si>
  <si>
    <t>Pag.016</t>
  </si>
  <si>
    <t>Pag.017</t>
  </si>
  <si>
    <t xml:space="preserve">   13 -</t>
  </si>
  <si>
    <t xml:space="preserve">Outros fabricos + Segurança </t>
  </si>
  <si>
    <t>Pag.018</t>
  </si>
  <si>
    <t>Pag.019</t>
  </si>
  <si>
    <t>Rotinas</t>
  </si>
  <si>
    <t>‚</t>
  </si>
  <si>
    <t>ANÁLISE CONTABILÍSTICA DOS PRINCIPAIS CUSTOS</t>
  </si>
  <si>
    <t xml:space="preserve">   5.3 - Intervenções no Casco</t>
  </si>
  <si>
    <t xml:space="preserve">   5.3.1 -Intervenções no Casco</t>
  </si>
  <si>
    <t xml:space="preserve">   5.4 -Tratamento de Superficies</t>
  </si>
  <si>
    <t xml:space="preserve">   5.5 -Tratamento de Superfícies</t>
  </si>
  <si>
    <t>6 - Instalação de Máquinas</t>
  </si>
  <si>
    <t xml:space="preserve">   7.0 -</t>
  </si>
  <si>
    <t>Instalação de Máquinas Auxiliares</t>
  </si>
  <si>
    <t xml:space="preserve">   8.0 -</t>
  </si>
  <si>
    <t>Instalação Eléctrica</t>
  </si>
  <si>
    <t xml:space="preserve">   9.0 -</t>
  </si>
  <si>
    <t>Máquinas Auxiliares (cont.)</t>
  </si>
  <si>
    <t xml:space="preserve">   10 -</t>
  </si>
  <si>
    <t>Auxiliares de Navegação e Comunicações</t>
  </si>
  <si>
    <t xml:space="preserve">   11 - Intervenções em Aço</t>
  </si>
  <si>
    <r>
      <t xml:space="preserve"> </t>
    </r>
    <r>
      <rPr>
        <b/>
        <sz val="12"/>
        <color indexed="8"/>
        <rFont val="Arial"/>
        <family val="2"/>
      </rPr>
      <t xml:space="preserve">  12 - Encanamentos</t>
    </r>
  </si>
  <si>
    <t xml:space="preserve">   13.1-</t>
  </si>
  <si>
    <t>Segurança</t>
  </si>
  <si>
    <t xml:space="preserve">   14 -</t>
  </si>
  <si>
    <t>Pessoal Contratado</t>
  </si>
  <si>
    <t>Doc:</t>
  </si>
  <si>
    <t>CAI4anoL.xls</t>
  </si>
  <si>
    <t>T.II</t>
  </si>
  <si>
    <t>Anterior</t>
  </si>
  <si>
    <t>Actual</t>
  </si>
  <si>
    <t>Variação</t>
  </si>
  <si>
    <t xml:space="preserve">Dias de Doca  </t>
  </si>
  <si>
    <t xml:space="preserve">   5.3.2 -Marcas, Caixas de Fundo</t>
  </si>
  <si>
    <t xml:space="preserve">   13.2-</t>
  </si>
  <si>
    <t>Outros fabricos específicos.</t>
  </si>
  <si>
    <t xml:space="preserve">   14.1-</t>
  </si>
  <si>
    <t>Materiais de Consumo e Fixo</t>
  </si>
  <si>
    <t>ORÇAMENTO ANUAL...............</t>
  </si>
  <si>
    <t>2 - Resumo dos Principais Custos</t>
  </si>
  <si>
    <t>4 - Caracteristicas Principais</t>
  </si>
  <si>
    <t>Zona de Operação</t>
  </si>
  <si>
    <t>Rio Tejo</t>
  </si>
  <si>
    <t xml:space="preserve">   5.2 -</t>
  </si>
  <si>
    <t>Tratamento do Casco</t>
  </si>
  <si>
    <t xml:space="preserve">  '5.3.1 - Válvulas de Fundo e Costado</t>
  </si>
  <si>
    <t xml:space="preserve">   5.3.3 -Ferros,Amarras e Paiol</t>
  </si>
  <si>
    <t>Áreas:</t>
  </si>
  <si>
    <t>Convés  -</t>
  </si>
  <si>
    <t>m2</t>
  </si>
  <si>
    <t>Porões</t>
  </si>
  <si>
    <t>PENALIZAÇÕES</t>
  </si>
  <si>
    <t xml:space="preserve">   14.2-</t>
  </si>
  <si>
    <t>Serviços de Apoio</t>
  </si>
  <si>
    <t xml:space="preserve">            Running Costs - Calculado com Pressupostos Estimados  </t>
  </si>
  <si>
    <t>Temperatura Média Água Mar-</t>
  </si>
  <si>
    <t>&gt;</t>
  </si>
  <si>
    <t>13º/C</t>
  </si>
  <si>
    <t xml:space="preserve">   5.3.4 -Protecção Catódica</t>
  </si>
  <si>
    <t>Anteparas</t>
  </si>
  <si>
    <t>Custo Medio Tinta</t>
  </si>
  <si>
    <t>Câmaras</t>
  </si>
  <si>
    <t>Custo Médio Tinta</t>
  </si>
  <si>
    <t>Maq.pp</t>
  </si>
  <si>
    <t>H.P.</t>
  </si>
  <si>
    <t>Diesel Geradores</t>
  </si>
  <si>
    <t>Cavernas,D.F.,C.Bombas 50%</t>
  </si>
  <si>
    <t>********</t>
  </si>
  <si>
    <t>CUSTOS DE TRIPULAÇÃO.......</t>
  </si>
  <si>
    <t>Classe</t>
  </si>
  <si>
    <t>Total</t>
  </si>
  <si>
    <t>Página</t>
  </si>
  <si>
    <t>4.1 - Dimensões</t>
  </si>
  <si>
    <t>5 - DOCAGEM</t>
  </si>
  <si>
    <t xml:space="preserve">   5.2.1 - Principais Áreas a Tratar</t>
  </si>
  <si>
    <t xml:space="preserve">   5.3.5 -Madre,Leme e Veio</t>
  </si>
  <si>
    <t>Vigias -</t>
  </si>
  <si>
    <t>Un</t>
  </si>
  <si>
    <t>é</t>
  </si>
  <si>
    <t>Tk D.F.</t>
  </si>
  <si>
    <t>Câmbio</t>
  </si>
  <si>
    <t>1 USD =</t>
  </si>
  <si>
    <t>Dentro dos Piques......</t>
  </si>
  <si>
    <t>1=Rotina</t>
  </si>
  <si>
    <t>Vencimentos......................</t>
  </si>
  <si>
    <t>L</t>
  </si>
  <si>
    <t xml:space="preserve"> - Lpp</t>
  </si>
  <si>
    <t>Borda F.-</t>
  </si>
  <si>
    <t>PTEx1000=</t>
  </si>
  <si>
    <t>Tk W.T.</t>
  </si>
  <si>
    <t xml:space="preserve">   PTEx1000=</t>
  </si>
  <si>
    <t>Peso Específico =</t>
  </si>
  <si>
    <t>Tubo Galvanizado +15%..</t>
  </si>
  <si>
    <t>V / F</t>
  </si>
  <si>
    <t>Ajudas de Custo..................</t>
  </si>
  <si>
    <t>2.1 - Docagem..............</t>
  </si>
  <si>
    <t>005</t>
  </si>
  <si>
    <t>T.A.B...........................</t>
  </si>
  <si>
    <t xml:space="preserve">   5.1 -</t>
  </si>
  <si>
    <t>Serviços Complementares</t>
  </si>
  <si>
    <t>B</t>
  </si>
  <si>
    <t xml:space="preserve"> - Boca</t>
  </si>
  <si>
    <t>FC -</t>
  </si>
  <si>
    <t>LA -</t>
  </si>
  <si>
    <t>Casario -</t>
  </si>
  <si>
    <t>Tk.Aguada</t>
  </si>
  <si>
    <t>Galvaniz. a quente +40%</t>
  </si>
  <si>
    <t>Quant.</t>
  </si>
  <si>
    <t>Custo</t>
  </si>
  <si>
    <t>PTE</t>
  </si>
  <si>
    <t>Recrutamento.....................</t>
  </si>
  <si>
    <t>H</t>
  </si>
  <si>
    <t xml:space="preserve"> - Calado</t>
  </si>
  <si>
    <t>FV -</t>
  </si>
  <si>
    <t>CT -</t>
  </si>
  <si>
    <t>ITEM'S</t>
  </si>
  <si>
    <t>(contos)</t>
  </si>
  <si>
    <t xml:space="preserve"> x 1000</t>
  </si>
  <si>
    <t>Repatriação......................</t>
  </si>
  <si>
    <t>2.2 - Tratamento do Casco..</t>
  </si>
  <si>
    <t>006</t>
  </si>
  <si>
    <t>Comprimento Fora a Fora.</t>
  </si>
  <si>
    <t xml:space="preserve">   5.1.1 - </t>
  </si>
  <si>
    <t>Designação dos Items</t>
  </si>
  <si>
    <t>t</t>
  </si>
  <si>
    <t xml:space="preserve"> - Taxa</t>
  </si>
  <si>
    <t>C</t>
  </si>
  <si>
    <t>Esp.</t>
  </si>
  <si>
    <t>(Un)</t>
  </si>
  <si>
    <t>Comprim.</t>
  </si>
  <si>
    <t xml:space="preserve"> Custos</t>
  </si>
  <si>
    <t>Outros Custos....................</t>
  </si>
  <si>
    <t>PTE x1000</t>
  </si>
  <si>
    <t>(3 mts)</t>
  </si>
  <si>
    <t>PTEx1000</t>
  </si>
  <si>
    <t>DIVERSOS</t>
  </si>
  <si>
    <t>H / h - PESSOAL</t>
  </si>
  <si>
    <t>2.3 - Válvulas de Fundo....</t>
  </si>
  <si>
    <t>007</t>
  </si>
  <si>
    <t>Boca ..............................</t>
  </si>
  <si>
    <t xml:space="preserve">   Total=</t>
  </si>
  <si>
    <t xml:space="preserve">VÁLVULAS </t>
  </si>
  <si>
    <t>Reparação Pavimento Vinil</t>
  </si>
  <si>
    <t>Encarregado Geral......</t>
  </si>
  <si>
    <t>ALIMENTAÇÃO.........</t>
  </si>
  <si>
    <t>Cunha - Charneira</t>
  </si>
  <si>
    <t>MARCAS</t>
  </si>
  <si>
    <t>CONVÉS  -</t>
  </si>
  <si>
    <t>PORÕES</t>
  </si>
  <si>
    <t>MÁQUINA P.P.</t>
  </si>
  <si>
    <t>AUXILIARES</t>
  </si>
  <si>
    <t>CALDEIRAS</t>
  </si>
  <si>
    <t>AUXILIARES COMUNICAÇÕES</t>
  </si>
  <si>
    <t>TRABALHOS EM AÇO</t>
  </si>
  <si>
    <t>ENCANAMENTOS</t>
  </si>
  <si>
    <t>Envernizar bancos</t>
  </si>
  <si>
    <t>Operario Chefe.........</t>
  </si>
  <si>
    <t>2.4 - Veio,Leme,Amarras,etc.</t>
  </si>
  <si>
    <t>008</t>
  </si>
  <si>
    <t>Pontal.............................</t>
  </si>
  <si>
    <t>50 mm.....2"..........</t>
  </si>
  <si>
    <t>Nome do Navio.........</t>
  </si>
  <si>
    <t>Picagem................</t>
  </si>
  <si>
    <t>Martelagem............</t>
  </si>
  <si>
    <t>Abrir Cilindro.........</t>
  </si>
  <si>
    <t>Descarbonização Geral..</t>
  </si>
  <si>
    <t>Teste Isolamento,......</t>
  </si>
  <si>
    <t>Auxiliar...............</t>
  </si>
  <si>
    <t>Emissor Principal......</t>
  </si>
  <si>
    <t>Chapa de Fundo.........</t>
  </si>
  <si>
    <t>De 2"  -  4 mm esp.....</t>
  </si>
  <si>
    <t>Substituir Cortinados</t>
  </si>
  <si>
    <t>Operários..............</t>
  </si>
  <si>
    <t>MATERIAIS DE CONSUMO E FIXO......</t>
  </si>
  <si>
    <t>100 mm....4...........</t>
  </si>
  <si>
    <t>Marcas de Bordo Livre</t>
  </si>
  <si>
    <t>Escovagem..............</t>
  </si>
  <si>
    <t>Lavagem A. P...........</t>
  </si>
  <si>
    <t>Remover Camisas.........</t>
  </si>
  <si>
    <t>Descarbonizar Cabeças..</t>
  </si>
  <si>
    <t>Recuperação Circuitos..</t>
  </si>
  <si>
    <t>Recuperativa...........</t>
  </si>
  <si>
    <t>Receptor Principal.....</t>
  </si>
  <si>
    <t>Chapas Laterais........</t>
  </si>
  <si>
    <t>De 4"  -  6 mm esp.....</t>
  </si>
  <si>
    <t>Defensas em Borracha</t>
  </si>
  <si>
    <t>Transportes............</t>
  </si>
  <si>
    <t>Aprestos e Consumíveis...........</t>
  </si>
  <si>
    <t>2.5 - Tratamento do Convés.</t>
  </si>
  <si>
    <t>009</t>
  </si>
  <si>
    <t>Calado  Médio......................</t>
  </si>
  <si>
    <t>150 mm....6"..........</t>
  </si>
  <si>
    <t>Porto de Registo</t>
  </si>
  <si>
    <t>Decapagem..............</t>
  </si>
  <si>
    <t>Beneficiar Cabeças</t>
  </si>
  <si>
    <t>Remover Camisas........</t>
  </si>
  <si>
    <t>Limpeza Q. E. Principal</t>
  </si>
  <si>
    <t>Acessos................</t>
  </si>
  <si>
    <t>Emissor de Reseva......</t>
  </si>
  <si>
    <t>Balizas Fundo e Longit.</t>
  </si>
  <si>
    <t>De 6"  -  7,1 mm esp...</t>
  </si>
  <si>
    <t>Alojamento das Defensas</t>
  </si>
  <si>
    <t>Refeições..............</t>
  </si>
  <si>
    <t>Lisnave</t>
  </si>
  <si>
    <t xml:space="preserve">    Determinação do C.A.I. Global</t>
  </si>
  <si>
    <t>4ºano</t>
  </si>
  <si>
    <t>Óleo de Lubrificação.............</t>
  </si>
  <si>
    <t>Entrada-Estadia-Saída......</t>
  </si>
  <si>
    <t>FUNDO CHATO -</t>
  </si>
  <si>
    <t>200 mm....8"..........</t>
  </si>
  <si>
    <t>Matrícula do Navio</t>
  </si>
  <si>
    <t>Lavagem A.P............</t>
  </si>
  <si>
    <t>Spots.................</t>
  </si>
  <si>
    <t>Maquinar Encher Coroa..</t>
  </si>
  <si>
    <t>Filtros de Combustível e Óleo</t>
  </si>
  <si>
    <t>Revisão Geral Apertos..</t>
  </si>
  <si>
    <t>Teste Hidráulico ......</t>
  </si>
  <si>
    <t>Receptor de Reserva....</t>
  </si>
  <si>
    <t>Balizas Sup.e Longit...</t>
  </si>
  <si>
    <t>De 8"  -  8,2 mm esp...</t>
  </si>
  <si>
    <t>Substituição de Pernos</t>
  </si>
  <si>
    <t>Subsídio Diário........</t>
  </si>
  <si>
    <t>2.6 - Trat..Tanques+Porões.........</t>
  </si>
  <si>
    <t>010</t>
  </si>
  <si>
    <t>T.A.B. ............................</t>
  </si>
  <si>
    <t>t/M</t>
  </si>
  <si>
    <t>Rebocadores.............</t>
  </si>
  <si>
    <t>Lavagem...............</t>
  </si>
  <si>
    <t>250......10"..........</t>
  </si>
  <si>
    <t>Escalas de Calado</t>
  </si>
  <si>
    <t>Pintura................</t>
  </si>
  <si>
    <t>Limpar ar Lavagem......</t>
  </si>
  <si>
    <t>Insp.Refrigerador Óleo.</t>
  </si>
  <si>
    <t>Aferir Instrumentos....</t>
  </si>
  <si>
    <t>Limpeza Química........</t>
  </si>
  <si>
    <t>Emissor Emergência.....</t>
  </si>
  <si>
    <t>Balizas Lat.e Longit...</t>
  </si>
  <si>
    <t>De 10" -  9,3 mm esp...</t>
  </si>
  <si>
    <t>Substituir Fluxómetros WC</t>
  </si>
  <si>
    <t>Seguro.................</t>
  </si>
  <si>
    <t>REPARAÇÃO E MANUTENÇÃO</t>
  </si>
  <si>
    <t>Consumo  Electricidade..</t>
  </si>
  <si>
    <t>Raspagem..............</t>
  </si>
  <si>
    <t>300 mm...12"..........</t>
  </si>
  <si>
    <t>Tinta..................</t>
  </si>
  <si>
    <t>Insp.Bronze Cruzeta....</t>
  </si>
  <si>
    <t>Insp.Refrigerador Água.</t>
  </si>
  <si>
    <t>Revisão Geral Q.Eléctricos</t>
  </si>
  <si>
    <t>SOBREALIMENTADORES</t>
  </si>
  <si>
    <t>Receptor Emergência....</t>
  </si>
  <si>
    <t>Anteparas Tk Carga.....</t>
  </si>
  <si>
    <t>De 12" - 10,3 mm esp...</t>
  </si>
  <si>
    <t>Desobstruir Enc.Sanitários</t>
  </si>
  <si>
    <t>Docagens Intermédias.............</t>
  </si>
  <si>
    <t>2.7 - Máquina Principal....</t>
  </si>
  <si>
    <t>011</t>
  </si>
  <si>
    <t>T.A.L..............................</t>
  </si>
  <si>
    <t>Consumo de Água Doce....</t>
  </si>
  <si>
    <t>Decapagem.............</t>
  </si>
  <si>
    <t>350 mm ..14".........</t>
  </si>
  <si>
    <t>Encher Bronze Cruzeta..</t>
  </si>
  <si>
    <t>Válvulas Reguladoras de Pressão</t>
  </si>
  <si>
    <t>Teste Geral de Alarmes.</t>
  </si>
  <si>
    <t>VTR 400................</t>
  </si>
  <si>
    <t>Telex..................</t>
  </si>
  <si>
    <t>Anteparas onduladas....</t>
  </si>
  <si>
    <t>De 14" - 11,1 mm esp...</t>
  </si>
  <si>
    <t>Fazer Leve Mov.Projector</t>
  </si>
  <si>
    <t>MATERIAIS CONSUMO E FIXO</t>
  </si>
  <si>
    <t>Total 1</t>
  </si>
  <si>
    <t>Casco,Estrutura,Rede de Fluídos..</t>
  </si>
  <si>
    <t>Consumo Água Lastro.....</t>
  </si>
  <si>
    <t>450 mm ..18"..........</t>
  </si>
  <si>
    <t>CAIXAS FUNDO -</t>
  </si>
  <si>
    <t>(0,3-1m2)</t>
  </si>
  <si>
    <t>ANTEPARAS-</t>
  </si>
  <si>
    <t>Insp.Bronze Manivela...</t>
  </si>
  <si>
    <t>Inspec. Bronze Apoio....</t>
  </si>
  <si>
    <t>Revisão Impressoras....</t>
  </si>
  <si>
    <t>VTR 500................</t>
  </si>
  <si>
    <t>Printer................</t>
  </si>
  <si>
    <t>Chapas Convés P.P......</t>
  </si>
  <si>
    <t>De 16" - 12,8 mm esp...</t>
  </si>
  <si>
    <t>Chapa Dreno Água Janelas</t>
  </si>
  <si>
    <t>Navegação..............</t>
  </si>
  <si>
    <t>Segurança e S.Incêndios..........</t>
  </si>
  <si>
    <t>2.8 - Máquinas Auxiliares..</t>
  </si>
  <si>
    <t>012</t>
  </si>
  <si>
    <t>Número de Tripulantes..............</t>
  </si>
  <si>
    <t>Guindastes.....(hora)...</t>
  </si>
  <si>
    <t>Retoques..............</t>
  </si>
  <si>
    <t>550 mm ..22"...........</t>
  </si>
  <si>
    <t>Abrir e fechar.........</t>
  </si>
  <si>
    <t>Insp.Bronze de Apoio.</t>
  </si>
  <si>
    <t>Insp.Bronze Manivelas.</t>
  </si>
  <si>
    <t>Ajust.Protecção Alternadores.</t>
  </si>
  <si>
    <t>VTR 630................</t>
  </si>
  <si>
    <t>Emissor da Baleeira....</t>
  </si>
  <si>
    <t>De 18" - 14,3 mm esp...</t>
  </si>
  <si>
    <t>Substituir Vidros Janelas</t>
  </si>
  <si>
    <t>Amarração..............</t>
  </si>
  <si>
    <t>Máquinas............................</t>
  </si>
  <si>
    <t>Bombeiros por 24 horas...</t>
  </si>
  <si>
    <t>Pintura...............</t>
  </si>
  <si>
    <t>650 mm ..26"..........</t>
  </si>
  <si>
    <t>Limpeza..(m2).........</t>
  </si>
  <si>
    <t>CÂMARAS</t>
  </si>
  <si>
    <t>Subst.Bronze Apoio......</t>
  </si>
  <si>
    <t>Insp.Bomba Óleo Agregada</t>
  </si>
  <si>
    <t>LIMPEZA DE MOTORES</t>
  </si>
  <si>
    <t>VTR 750................</t>
  </si>
  <si>
    <t>Antenas................</t>
  </si>
  <si>
    <t>Total --&gt;</t>
  </si>
  <si>
    <t>Kgs</t>
  </si>
  <si>
    <t>De 20" - 15,1 mm esp...</t>
  </si>
  <si>
    <t>Revisão Electrólito Baterias</t>
  </si>
  <si>
    <t>Aparelho de Carga......</t>
  </si>
  <si>
    <t>Sobressalentes...................</t>
  </si>
  <si>
    <t>2.9 - Instalação Eléctrica.</t>
  </si>
  <si>
    <t>013</t>
  </si>
  <si>
    <t>Dias a Navegar.........................</t>
  </si>
  <si>
    <t>Colocação de Pesos......</t>
  </si>
  <si>
    <t>Tinta.................</t>
  </si>
  <si>
    <t>700 mm ..28"..........</t>
  </si>
  <si>
    <t>Pintura.....(demão)....</t>
  </si>
  <si>
    <t>Isolamento..(m2)..</t>
  </si>
  <si>
    <t>Encher Bronze Apoio....</t>
  </si>
  <si>
    <t>Insp.Bomba Água Doce...</t>
  </si>
  <si>
    <t>De 6 kw................</t>
  </si>
  <si>
    <t>COMPRESSORES</t>
  </si>
  <si>
    <t>Transmissores Portáteis</t>
  </si>
  <si>
    <t>Reforços  +40%</t>
  </si>
  <si>
    <t>De 22" - 15,9 mm esp...</t>
  </si>
  <si>
    <t>Revisão Macacos Portas</t>
  </si>
  <si>
    <t>Saúde..................</t>
  </si>
  <si>
    <t>Operador:</t>
  </si>
  <si>
    <t>Diversos.........................</t>
  </si>
  <si>
    <t>Remover Picadeiros......</t>
  </si>
  <si>
    <t>Forro a Fórmica....</t>
  </si>
  <si>
    <t>Insp.Válvula Rotativa..</t>
  </si>
  <si>
    <t>Insp.Bomba Água Mar....</t>
  </si>
  <si>
    <t>De 7,5 kw..............</t>
  </si>
  <si>
    <t>Ar Aviamento (alt.B.P.)</t>
  </si>
  <si>
    <t>Autoalarme.............</t>
  </si>
  <si>
    <t>Chapa DF/Piques +40%</t>
  </si>
  <si>
    <t>De 24" - 17,5 mm esp...</t>
  </si>
  <si>
    <t>Válvulas Intermédias</t>
  </si>
  <si>
    <t>Câmaras................</t>
  </si>
  <si>
    <t>ARMADOR:</t>
  </si>
  <si>
    <t>2.10- Outros Auxiliares.....</t>
  </si>
  <si>
    <t>014</t>
  </si>
  <si>
    <t>Dias em Porto......................</t>
  </si>
  <si>
    <t>Tirar bujões de Fundo...</t>
  </si>
  <si>
    <t>FUNDO VERTICAL -</t>
  </si>
  <si>
    <t>Globo</t>
  </si>
  <si>
    <t>FERROS E AMARRAS</t>
  </si>
  <si>
    <t>Lavagem Anteparas</t>
  </si>
  <si>
    <t>Insp.Bomba Injecção....</t>
  </si>
  <si>
    <t>Insp.Bombas Injecção...</t>
  </si>
  <si>
    <t>De 11 Kw...............</t>
  </si>
  <si>
    <t>Ar Aviamento (alt.A.P.)</t>
  </si>
  <si>
    <t>Carregadores Baterias..</t>
  </si>
  <si>
    <t>Chapas Perfiladas +20%</t>
  </si>
  <si>
    <t>CURVAS</t>
  </si>
  <si>
    <t>Ferramentas............</t>
  </si>
  <si>
    <t xml:space="preserve">Data: </t>
  </si>
  <si>
    <t>CUSTOS PLURIENAIS..............</t>
  </si>
  <si>
    <t>Bujões Embornais........</t>
  </si>
  <si>
    <t>Arriar,lavar,subir....</t>
  </si>
  <si>
    <t>Frisos</t>
  </si>
  <si>
    <t>Insp.Pulverizadores....</t>
  </si>
  <si>
    <t>De 15 kw ..............</t>
  </si>
  <si>
    <t>Ar Aviamento (Rotativo)</t>
  </si>
  <si>
    <t>AUXILIARES NAVEGAÇÃO...</t>
  </si>
  <si>
    <t>Subst.só internos.+40%</t>
  </si>
  <si>
    <t>Tintas de Manutenção...</t>
  </si>
  <si>
    <t>Máquinas..................................</t>
  </si>
  <si>
    <t>2.11- Aux. Navegação/T.S.F.</t>
  </si>
  <si>
    <t>015</t>
  </si>
  <si>
    <t>Renovação Classe,Casco,Equipamento.</t>
  </si>
  <si>
    <t>Ar Comprimido..../Dia...</t>
  </si>
  <si>
    <t>Medir e Reportar......</t>
  </si>
  <si>
    <t>Insp.Valv.Ar Arranque</t>
  </si>
  <si>
    <t>Insp.Válv. Ar Arranque.</t>
  </si>
  <si>
    <t>De 22 kw ..............</t>
  </si>
  <si>
    <t>Frio (alt.-Mantimentos)</t>
  </si>
  <si>
    <t>Inspecção Radares......</t>
  </si>
  <si>
    <t>Material Eléctrico.....</t>
  </si>
  <si>
    <t>Docagem de Classificação.........</t>
  </si>
  <si>
    <t>Vapor......../.hora.....</t>
  </si>
  <si>
    <t>VIGIAS</t>
  </si>
  <si>
    <t>DUPLOS FUNDOS</t>
  </si>
  <si>
    <t>Insp.Valv.Segurança....</t>
  </si>
  <si>
    <t>Insp.Válvulas Segurança</t>
  </si>
  <si>
    <t>De 37 kw...............</t>
  </si>
  <si>
    <t>Frio (alt.-Garga)......</t>
  </si>
  <si>
    <t>Inspecção Giro Piloto..</t>
  </si>
  <si>
    <t>TANQUES SUPERIORES DE LASTRO</t>
  </si>
  <si>
    <t>Material de Convés.....</t>
  </si>
  <si>
    <t xml:space="preserve"> PROJECTO:</t>
  </si>
  <si>
    <t>Estudo de Gestão da Frota</t>
  </si>
  <si>
    <t>Novas Aquisições.................</t>
  </si>
  <si>
    <t>2.12- Substituição de Aço..</t>
  </si>
  <si>
    <t>016</t>
  </si>
  <si>
    <t>Renovação Classe,Máquinas,Electric.</t>
  </si>
  <si>
    <t>Mangueiras Circulação.........</t>
  </si>
  <si>
    <t>PAIOL AMARRA</t>
  </si>
  <si>
    <t>Abrir..................</t>
  </si>
  <si>
    <t>Distribuidor de Ar Aviamento</t>
  </si>
  <si>
    <t>Insp.Distribuidor de Ar</t>
  </si>
  <si>
    <t>De 55 kw...............</t>
  </si>
  <si>
    <t>Frio (Rotativo-Carga)..</t>
  </si>
  <si>
    <t>Inspecção V.H.F........</t>
  </si>
  <si>
    <t>Aditivos...............</t>
  </si>
  <si>
    <t>Grandes Beneficiações............</t>
  </si>
  <si>
    <t>Mangueiras de S.I........</t>
  </si>
  <si>
    <t>Bomba de Óleo Lubrificação</t>
  </si>
  <si>
    <t>Defelexão ao Veio...</t>
  </si>
  <si>
    <t>De 84 kw...............</t>
  </si>
  <si>
    <t>MÁQUINAS CONVES</t>
  </si>
  <si>
    <t>Radiogoniómetro........</t>
  </si>
  <si>
    <t>Material T.S.F.........</t>
  </si>
  <si>
    <t>2.13- Subst. Encanamentos..</t>
  </si>
  <si>
    <t>017</t>
  </si>
  <si>
    <t>Veio Propulsor.....................</t>
  </si>
  <si>
    <t>Cabos Eléctricos........</t>
  </si>
  <si>
    <t>Ventilação.............</t>
  </si>
  <si>
    <t>Bomba de Cilindros........</t>
  </si>
  <si>
    <t xml:space="preserve">BOMBAS - Capacidade </t>
  </si>
  <si>
    <t>BOBINAGEM</t>
  </si>
  <si>
    <t>Molinete...............</t>
  </si>
  <si>
    <t>Odómetro...............</t>
  </si>
  <si>
    <t>Material Máquinas......</t>
  </si>
  <si>
    <t>AVARIAS DE CONTA PRÓPRIA</t>
  </si>
  <si>
    <t>Montagem Acessos........</t>
  </si>
  <si>
    <t>Raspagem Manual..(m2)..</t>
  </si>
  <si>
    <t>Bomba de Água Doce Agregada</t>
  </si>
  <si>
    <t>Até...10 m3 / h........</t>
  </si>
  <si>
    <t>Hidrofóros</t>
  </si>
  <si>
    <t>Cabrestante..........</t>
  </si>
  <si>
    <t>Satélite...............</t>
  </si>
  <si>
    <t>Mat.Peação e Carga.....</t>
  </si>
  <si>
    <t>CUSTOS DE GESTÃO..............</t>
  </si>
  <si>
    <t>2.14- Segurança</t>
  </si>
  <si>
    <t>018</t>
  </si>
  <si>
    <t>Data de Alienação..................</t>
  </si>
  <si>
    <t>Manobras Extra..........</t>
  </si>
  <si>
    <t>Remover Lamas (8tons)..</t>
  </si>
  <si>
    <t>Remover lamas.(ton)</t>
  </si>
  <si>
    <t>Bomba Água do Mar Agregada</t>
  </si>
  <si>
    <t>Até...30 m3 / h........</t>
  </si>
  <si>
    <t>Esgoto</t>
  </si>
  <si>
    <t>Gruas..................</t>
  </si>
  <si>
    <t>Gases..................</t>
  </si>
  <si>
    <t>Aluguer de Cais.........</t>
  </si>
  <si>
    <t>LINHA ÁGUA -</t>
  </si>
  <si>
    <t>Container..(dia).......</t>
  </si>
  <si>
    <t>Copos Lubrificação Automáticos</t>
  </si>
  <si>
    <t>Até...50 m3 / h........</t>
  </si>
  <si>
    <t>S.I.</t>
  </si>
  <si>
    <t>APARELHO DE CARGA</t>
  </si>
  <si>
    <t>GPS....................</t>
  </si>
  <si>
    <t>Total 2</t>
  </si>
  <si>
    <t>Custos Técnicos - Quadrienal  - Grande Intervenção</t>
  </si>
  <si>
    <t>SEGUROS..........................</t>
  </si>
  <si>
    <t>2.15-Contratados+ Outros Fabricos</t>
  </si>
  <si>
    <t>Potência Máquina Principal.........</t>
  </si>
  <si>
    <t>2x635 H.P.</t>
  </si>
  <si>
    <t>B.H.P.</t>
  </si>
  <si>
    <t>Ventilação.................</t>
  </si>
  <si>
    <t>PROTECÇÃO CATÓDICA</t>
  </si>
  <si>
    <t>Regulador Velocidade...</t>
  </si>
  <si>
    <t>Até...150 m3 / h.......</t>
  </si>
  <si>
    <t>Paus de 3 tons.........</t>
  </si>
  <si>
    <t>Detector Incêndios.....</t>
  </si>
  <si>
    <t>SERVIÇOS DE APOIO PORTUÁRIOS</t>
  </si>
  <si>
    <t>Casco.+ Máquinas.................</t>
  </si>
  <si>
    <t>Certificado Desgasific..</t>
  </si>
  <si>
    <t>Remover Óleos.........</t>
  </si>
  <si>
    <t>Substituir Zincos..(kg).</t>
  </si>
  <si>
    <t>BORDA FALSA -</t>
  </si>
  <si>
    <t>Deflexão ao Veio  de Manivelas</t>
  </si>
  <si>
    <t>Até...250 m3 / h.......</t>
  </si>
  <si>
    <t>Paus de 5 tons.........</t>
  </si>
  <si>
    <t>Comunicações Internas..</t>
  </si>
  <si>
    <t>Aguada.................</t>
  </si>
  <si>
    <t>P &amp; I ...........................</t>
  </si>
  <si>
    <t>2.16- Mat.Consumo Fixo+Lub.Oil</t>
  </si>
  <si>
    <t>019-020</t>
  </si>
  <si>
    <t>Consumo Lubrificantes Ano.</t>
  </si>
  <si>
    <t>KG</t>
  </si>
  <si>
    <t>Pintos..................</t>
  </si>
  <si>
    <t>Preco Kg..............</t>
  </si>
  <si>
    <t>Ate...1000 m3 / h......</t>
  </si>
  <si>
    <t>Paus de 10 tons........</t>
  </si>
  <si>
    <t>Sinais Acústicos.......</t>
  </si>
  <si>
    <t>Agenciamento...........</t>
  </si>
  <si>
    <t>Com os seguintes fabricos:</t>
  </si>
  <si>
    <t>Guerra...........................</t>
  </si>
  <si>
    <t>Contentores.............</t>
  </si>
  <si>
    <t>Borbuleta</t>
  </si>
  <si>
    <t>TK ALTOS</t>
  </si>
  <si>
    <t>Até...1500 m3 / h......</t>
  </si>
  <si>
    <t>Turcos das baleeiras</t>
  </si>
  <si>
    <t>RAMAIS</t>
  </si>
  <si>
    <t>Estiva.................</t>
  </si>
  <si>
    <t>Loss of Hire.....................</t>
  </si>
  <si>
    <t>2.17- Serviços de Apoio</t>
  </si>
  <si>
    <t>021</t>
  </si>
  <si>
    <t>Geradores.....</t>
  </si>
  <si>
    <t>Remoção de Lixo.........</t>
  </si>
  <si>
    <t>LEME</t>
  </si>
  <si>
    <t>PERMUTADORES DE CALOR</t>
  </si>
  <si>
    <t>Teste ao Pau Real......</t>
  </si>
  <si>
    <t>Direcção Geral T.M.N....</t>
  </si>
  <si>
    <t>. Docagem</t>
  </si>
  <si>
    <t>Passageiros...................</t>
  </si>
  <si>
    <t>Máquina PP....</t>
  </si>
  <si>
    <t>Esgoto Cavernas./Hora...</t>
  </si>
  <si>
    <t>Medir e Reportar.......</t>
  </si>
  <si>
    <t>Até 10  m2 (sup.)......</t>
  </si>
  <si>
    <t>A.D. Máq.pp</t>
  </si>
  <si>
    <t>ALTERNADORES - Limpeza</t>
  </si>
  <si>
    <t>Ferro Bolbo  +30%</t>
  </si>
  <si>
    <t>Despachante............</t>
  </si>
  <si>
    <t>. Abertura Geral de Equipamentos.</t>
  </si>
  <si>
    <t>Global-&gt;</t>
  </si>
  <si>
    <t>Diversos......</t>
  </si>
  <si>
    <t>Remover Resíduos../ton..</t>
  </si>
  <si>
    <t>Desmontar leme........</t>
  </si>
  <si>
    <t>Até 25  m2 (sup.)......</t>
  </si>
  <si>
    <t>Óleo Maq.pp</t>
  </si>
  <si>
    <t>De 200 kw..............</t>
  </si>
  <si>
    <t>Esquadros    +40%</t>
  </si>
  <si>
    <t>Guarda Fiscal..........</t>
  </si>
  <si>
    <t>. Tratamento de Superfícies.</t>
  </si>
  <si>
    <t>CUSTOS ADMINISTRATIVOS...</t>
  </si>
  <si>
    <t>Manobras...........</t>
  </si>
  <si>
    <t>Maquinar Casquilhos.....</t>
  </si>
  <si>
    <t>Até 50  m2 (sup.)......</t>
  </si>
  <si>
    <t>De 300 kw..............</t>
  </si>
  <si>
    <t>Reforcos     +40%</t>
  </si>
  <si>
    <t>SEGURANÇA</t>
  </si>
  <si>
    <t>Administração do Porto.</t>
  </si>
  <si>
    <t>. Rotinas de Manutenção Geral.</t>
  </si>
  <si>
    <t>Serviços de Apoio em Porto.......</t>
  </si>
  <si>
    <t>Consumo Diário de Água.............</t>
  </si>
  <si>
    <t>LT</t>
  </si>
  <si>
    <t>Portaló..............</t>
  </si>
  <si>
    <t>COSTADO</t>
  </si>
  <si>
    <t xml:space="preserve">Rectificar o Pino </t>
  </si>
  <si>
    <t>Ate 75  m2 (sup.)......</t>
  </si>
  <si>
    <t>De 450 kw..............</t>
  </si>
  <si>
    <t>Estação de CO2.........</t>
  </si>
  <si>
    <t>Comunicações............</t>
  </si>
  <si>
    <t>Custos de Classe.................</t>
  </si>
  <si>
    <t>Exec.Casquilho Guia da Madre</t>
  </si>
  <si>
    <t>CASARIO</t>
  </si>
  <si>
    <t>Até 100  m2 (sup.).....</t>
  </si>
  <si>
    <t>De 750 kw..............</t>
  </si>
  <si>
    <t>Medição de Espessuras...</t>
  </si>
  <si>
    <t>Extintores.............</t>
  </si>
  <si>
    <t>Deslocações............</t>
  </si>
  <si>
    <t>Custos do Orçamento Não Refletidos Neste Espelho:</t>
  </si>
  <si>
    <t>Zona de Operação...................</t>
  </si>
  <si>
    <t>Prova Hidráulica......</t>
  </si>
  <si>
    <t>RESERVATÓRIOS</t>
  </si>
  <si>
    <t>Aparelho Respiratório..</t>
  </si>
  <si>
    <t>Descarga Residuos Óleo.</t>
  </si>
  <si>
    <t>Custos da Área Técnica</t>
  </si>
  <si>
    <t>Garrafa de Ar Aviamento</t>
  </si>
  <si>
    <t>Sinais Fumígeros........</t>
  </si>
  <si>
    <t>Representação..........</t>
  </si>
  <si>
    <t>RESUMO:</t>
  </si>
  <si>
    <t>USD / DIA</t>
  </si>
  <si>
    <t>Custos de Gestão</t>
  </si>
  <si>
    <t>Dias de Imobilização ao Longo do Ano....</t>
  </si>
  <si>
    <t>VEIOS</t>
  </si>
  <si>
    <t>Pressotanques Água</t>
  </si>
  <si>
    <t>Jangadas.........................</t>
  </si>
  <si>
    <t>Pilotagem..............</t>
  </si>
  <si>
    <t>Tripulação..............</t>
  </si>
  <si>
    <t>Avarias de C.Própria</t>
  </si>
  <si>
    <t>Tripulação</t>
  </si>
  <si>
    <t>Folgas e Reportar.......</t>
  </si>
  <si>
    <t>TK AGUADA</t>
  </si>
  <si>
    <t>Separador Esgotos</t>
  </si>
  <si>
    <t>Mangueiras.....................</t>
  </si>
  <si>
    <t>Capitania..............</t>
  </si>
  <si>
    <t>Manutenção..............</t>
  </si>
  <si>
    <t>Custos de Classe</t>
  </si>
  <si>
    <t>Seguro</t>
  </si>
  <si>
    <t>Tratamento do Casco:</t>
  </si>
  <si>
    <t>760 mm ..30"..........</t>
  </si>
  <si>
    <t>Remover Hélices e Veio</t>
  </si>
  <si>
    <t>Abrir.................</t>
  </si>
  <si>
    <t>Válvulas Fecho Rápido</t>
  </si>
  <si>
    <t>Contrato de Classificação...........</t>
  </si>
  <si>
    <t>Seguros.................</t>
  </si>
  <si>
    <t>Sobressalentes</t>
  </si>
  <si>
    <t>Combustível</t>
  </si>
  <si>
    <t xml:space="preserve">  FC -</t>
  </si>
  <si>
    <t>Fundo Chato............</t>
  </si>
  <si>
    <t xml:space="preserve">Consumo Energia </t>
  </si>
  <si>
    <t>860 mm ..34"..........</t>
  </si>
  <si>
    <t>Raspar.................</t>
  </si>
  <si>
    <t>Coletes Salvamento</t>
  </si>
  <si>
    <t>Custos de Gestão........</t>
  </si>
  <si>
    <r>
      <t>D</t>
    </r>
    <r>
      <rPr>
        <b/>
        <sz val="10"/>
        <rFont val="Arial"/>
        <family val="2"/>
      </rPr>
      <t>eslocações</t>
    </r>
  </si>
  <si>
    <t xml:space="preserve"> FV -</t>
  </si>
  <si>
    <t>Fundo Vertical.........</t>
  </si>
  <si>
    <t xml:space="preserve">Dia = </t>
  </si>
  <si>
    <t>W / i</t>
  </si>
  <si>
    <t>965 mm ..38"..........</t>
  </si>
  <si>
    <t>Desmontar, Rever o Bucim</t>
  </si>
  <si>
    <t>Acessos (1 un )........</t>
  </si>
  <si>
    <t>Cimentar.......(m2)....</t>
  </si>
  <si>
    <t>Total 3</t>
  </si>
  <si>
    <t>Custos Administrativos..</t>
  </si>
  <si>
    <t xml:space="preserve"> LA -</t>
  </si>
  <si>
    <t>Linha de Água..........</t>
  </si>
  <si>
    <t>TOTAL</t>
  </si>
  <si>
    <t xml:space="preserve"> CT -</t>
  </si>
  <si>
    <t>Costado................</t>
  </si>
  <si>
    <t>Classe =</t>
  </si>
  <si>
    <t>Rotinas =</t>
  </si>
  <si>
    <t xml:space="preserve">  Total</t>
  </si>
  <si>
    <t>Por:</t>
  </si>
  <si>
    <t>Albano Nunes</t>
  </si>
  <si>
    <t>Au1..be57</t>
  </si>
  <si>
    <t>Hu1.ie58</t>
  </si>
  <si>
    <t>Pag.021</t>
  </si>
  <si>
    <t>Pag.020</t>
  </si>
  <si>
    <t xml:space="preserve">   15 -</t>
  </si>
  <si>
    <t>Vencimentos de Pessoal</t>
  </si>
  <si>
    <t>Derterminação de Custos Óleo Lub.</t>
  </si>
  <si>
    <t>Pressupostos:</t>
  </si>
  <si>
    <t xml:space="preserve">  JAN</t>
  </si>
  <si>
    <t xml:space="preserve">  DEZ</t>
  </si>
  <si>
    <t xml:space="preserve">  Versão::</t>
  </si>
  <si>
    <t>Actualização  %</t>
  </si>
  <si>
    <t>Acréscimo Salarial</t>
  </si>
  <si>
    <t>Potência</t>
  </si>
  <si>
    <t>DETERMINAÇÃO DE CUSTOS TÉCNICOS DE NAVIOS</t>
  </si>
  <si>
    <t>Ano: 1997</t>
  </si>
  <si>
    <t>Consumo</t>
  </si>
  <si>
    <t>g / cv / h</t>
  </si>
  <si>
    <t>Condição</t>
  </si>
  <si>
    <t xml:space="preserve">Periodo: </t>
  </si>
  <si>
    <t>Categoria</t>
  </si>
  <si>
    <t xml:space="preserve"> %</t>
  </si>
  <si>
    <t>ANÁLISE TÉCNICA DOS PRINCIPAIS CUSTOS</t>
  </si>
  <si>
    <t>Div.</t>
  </si>
  <si>
    <t>Número</t>
  </si>
  <si>
    <t>Custos</t>
  </si>
  <si>
    <t>Bandeira</t>
  </si>
  <si>
    <t>%</t>
  </si>
  <si>
    <t>Encargos</t>
  </si>
  <si>
    <t xml:space="preserve"> Salário</t>
  </si>
  <si>
    <t>Navio:</t>
  </si>
  <si>
    <t>Tipo</t>
  </si>
  <si>
    <t>Tripulantes</t>
  </si>
  <si>
    <t>Marginais</t>
  </si>
  <si>
    <t>Port.</t>
  </si>
  <si>
    <t>Conv.</t>
  </si>
  <si>
    <t>NR.</t>
  </si>
  <si>
    <t>Tripulant.</t>
  </si>
  <si>
    <t>Prémio</t>
  </si>
  <si>
    <t xml:space="preserve"> Sociais</t>
  </si>
  <si>
    <t xml:space="preserve">  Base</t>
  </si>
  <si>
    <t>ORÇAMENTO ANUAL.................</t>
  </si>
  <si>
    <t>OBJECTIVO</t>
  </si>
  <si>
    <t>MÁQUINA PRINCIPAL</t>
  </si>
  <si>
    <t>Comandante....</t>
  </si>
  <si>
    <t>Mestre</t>
  </si>
  <si>
    <t>*Cilindros*</t>
  </si>
  <si>
    <t>1</t>
  </si>
  <si>
    <t>CUSTOS DE GESTÃO.................</t>
  </si>
  <si>
    <t xml:space="preserve">         " Deslocacao do Navio de Pesca "ALPIARCA", em regime </t>
  </si>
  <si>
    <t>Chefe Máquinas</t>
  </si>
  <si>
    <t>Contramestre</t>
  </si>
  <si>
    <t>Regime.................</t>
  </si>
  <si>
    <t>RUNNING COSTS</t>
  </si>
  <si>
    <t>Imediato......</t>
  </si>
  <si>
    <t>1º Motorista</t>
  </si>
  <si>
    <t>Dias a Navegar..........</t>
  </si>
  <si>
    <t>2</t>
  </si>
  <si>
    <t>CUSTOS DE TRIPULAÇÃO.............</t>
  </si>
  <si>
    <t>Radiotécnico..</t>
  </si>
  <si>
    <t>2º Motorista</t>
  </si>
  <si>
    <t>Dias em Porto..........</t>
  </si>
  <si>
    <t>1 Of.Maq.ta...</t>
  </si>
  <si>
    <t>Marinheiros</t>
  </si>
  <si>
    <t>Consumo diário..................</t>
  </si>
  <si>
    <t>Alimentação.......................</t>
  </si>
  <si>
    <t>1.Piloto......</t>
  </si>
  <si>
    <t>Carga de Reserva................</t>
  </si>
  <si>
    <t>1  -</t>
  </si>
  <si>
    <t>Management Fee......................................</t>
  </si>
  <si>
    <t>Outros Custos.........................</t>
  </si>
  <si>
    <t>2.Of.Maq.ta...</t>
  </si>
  <si>
    <t>Consumo Anual...................</t>
  </si>
  <si>
    <t>2.Of.Piloto...</t>
  </si>
  <si>
    <t>2  -</t>
  </si>
  <si>
    <t>Crew...............................................</t>
  </si>
  <si>
    <t>MATERIAIS DE CONSUMO................</t>
  </si>
  <si>
    <t>3.Of.Maq.ta...</t>
  </si>
  <si>
    <t>*Carter*</t>
  </si>
  <si>
    <t>3</t>
  </si>
  <si>
    <t>ÓLEO LUBRIFICANTE.......................</t>
  </si>
  <si>
    <t>3.Of.Piloto...</t>
  </si>
  <si>
    <t>Atesto Anual...........</t>
  </si>
  <si>
    <t>3  -</t>
  </si>
  <si>
    <t>Lub Oils............................................</t>
  </si>
  <si>
    <t>4</t>
  </si>
  <si>
    <t>MATERIAIS DE CONSUMO E FIXO....</t>
  </si>
  <si>
    <t>Enfermeiro....</t>
  </si>
  <si>
    <t>Atesto Diário..........</t>
  </si>
  <si>
    <t>Contramestre..</t>
  </si>
  <si>
    <t>Consumo Diário..................</t>
  </si>
  <si>
    <t>4  -</t>
  </si>
  <si>
    <t>Stores...............................................</t>
  </si>
  <si>
    <t>5</t>
  </si>
  <si>
    <t>REPARAÇÃO E MANUTENÇÃO...........</t>
  </si>
  <si>
    <t>Electricista..</t>
  </si>
  <si>
    <t>Despenseiro...</t>
  </si>
  <si>
    <t>5  -</t>
  </si>
  <si>
    <t>Repairs / Maintenance and Spares...................</t>
  </si>
  <si>
    <t>Artífice......</t>
  </si>
  <si>
    <t>*Geradores*</t>
  </si>
  <si>
    <t>Cozinheiro....</t>
  </si>
  <si>
    <t>Navegar................</t>
  </si>
  <si>
    <t>6  -</t>
  </si>
  <si>
    <t>Administration Charges.............................</t>
  </si>
  <si>
    <t>Marinh.ro 1a..</t>
  </si>
  <si>
    <t>Porto..................</t>
  </si>
  <si>
    <t>Marinh.ro 2a..</t>
  </si>
  <si>
    <t>Consumo Médio Diário...........</t>
  </si>
  <si>
    <t>7  -</t>
  </si>
  <si>
    <t>Insurance and P &amp; I.................................</t>
  </si>
  <si>
    <t>N.E..................</t>
  </si>
  <si>
    <t>Aj.Motorista..</t>
  </si>
  <si>
    <t>Paiol. Conves</t>
  </si>
  <si>
    <t>8  -</t>
  </si>
  <si>
    <t>Current Extra Costs (Estimated).....................</t>
  </si>
  <si>
    <t>6</t>
  </si>
  <si>
    <t>CUSTOS ADMINISTRATIVOS...........</t>
  </si>
  <si>
    <t>Paoil.Máquina.</t>
  </si>
  <si>
    <t>*Diversos*</t>
  </si>
  <si>
    <t>Emp.Câmaras...</t>
  </si>
  <si>
    <t>Consumo Diário.........</t>
  </si>
  <si>
    <t>9  -</t>
  </si>
  <si>
    <t>Extra Costs (Estimated).............................</t>
  </si>
  <si>
    <t>Custos de Classe..................</t>
  </si>
  <si>
    <t>Praticantes...</t>
  </si>
  <si>
    <t>Parcial----&gt;</t>
  </si>
  <si>
    <t>Parcial</t>
  </si>
  <si>
    <t>Total 1--------&gt;</t>
  </si>
  <si>
    <t>TOTAL (1 - 7)..............</t>
  </si>
  <si>
    <t xml:space="preserve">Consumo Total </t>
  </si>
  <si>
    <t>Ajudas Custo...</t>
  </si>
  <si>
    <t xml:space="preserve">  Dia</t>
  </si>
  <si>
    <t>TOTAL (1 - 9)...............</t>
  </si>
  <si>
    <t>USD - PTE</t>
  </si>
  <si>
    <t>Recrutamento..</t>
  </si>
  <si>
    <t xml:space="preserve">  Europa</t>
  </si>
  <si>
    <t>Portugal</t>
  </si>
  <si>
    <t>Repatriação...</t>
  </si>
  <si>
    <t xml:space="preserve">  USA</t>
  </si>
  <si>
    <t>Cargas de Reserva</t>
  </si>
  <si>
    <t>Daily Costs (Budget Basis) ..............</t>
  </si>
  <si>
    <t>Days.....</t>
  </si>
  <si>
    <t>Passageiros...............</t>
  </si>
  <si>
    <t>ALIMENTAÇÃO</t>
  </si>
  <si>
    <t>Cilindros........................</t>
  </si>
  <si>
    <t>Equivalent USD -Exchange Rate- 1USD =</t>
  </si>
  <si>
    <t>PTE......</t>
  </si>
  <si>
    <t>8</t>
  </si>
  <si>
    <t>CUSTOS CORRENTES EXTRAORDINÁRIOS..</t>
  </si>
  <si>
    <t>Cárter...........................</t>
  </si>
  <si>
    <t>Tripulantes...</t>
  </si>
  <si>
    <t>Geradores........................</t>
  </si>
  <si>
    <t>Daily Costs (Budget Basis+Extras).....</t>
  </si>
  <si>
    <t>OUTROS CUSTOS</t>
  </si>
  <si>
    <t>Condicao  0 / 1</t>
  </si>
  <si>
    <t>Condição  0 / 1</t>
  </si>
  <si>
    <t>Assistência Médica.....</t>
  </si>
  <si>
    <t>Assistencia Médica.....</t>
  </si>
  <si>
    <t>9</t>
  </si>
  <si>
    <t>CUSTOS EXTRA ........................</t>
  </si>
  <si>
    <t>Seg.Acidentes Trabalho.</t>
  </si>
  <si>
    <t>Bem-estar...............</t>
  </si>
  <si>
    <t>Docagem Intermédia...............</t>
  </si>
  <si>
    <t>Medicamentos............</t>
  </si>
  <si>
    <t>Lavandaria..............</t>
  </si>
  <si>
    <t>Lanchas.................</t>
  </si>
  <si>
    <t>Avarias de Conta Própria.........</t>
  </si>
  <si>
    <t>TOTAL MENSAL</t>
  </si>
  <si>
    <t>Determinacao de Custos</t>
  </si>
  <si>
    <t>Data</t>
  </si>
  <si>
    <t>O Engenheiro</t>
  </si>
  <si>
    <t xml:space="preserve">   15 -Cálculo do Valor do Prémio</t>
  </si>
  <si>
    <t>Pag.022</t>
  </si>
  <si>
    <t xml:space="preserve">  95,6,6</t>
  </si>
  <si>
    <t>_</t>
  </si>
  <si>
    <t>MES:</t>
  </si>
  <si>
    <t>------------</t>
  </si>
  <si>
    <t xml:space="preserve">Receita </t>
  </si>
  <si>
    <t xml:space="preserve">Resultado </t>
  </si>
  <si>
    <t>Custos Administrativos</t>
  </si>
  <si>
    <t>-------------------</t>
  </si>
  <si>
    <t>Despesa</t>
  </si>
  <si>
    <t>AI66..AR122</t>
  </si>
  <si>
    <t>Investimento Inicial</t>
  </si>
  <si>
    <t>Bolo:</t>
  </si>
  <si>
    <t>Versão:</t>
  </si>
  <si>
    <t>Periodo:</t>
  </si>
  <si>
    <t>ANÁLISE DOS CUSTOS GLOBAIS DE EXPLORAÇÃO</t>
  </si>
  <si>
    <t>Pág.ESPELHO</t>
  </si>
  <si>
    <t>Custos Estimados de Acordo com a Tabela de Custos II</t>
  </si>
  <si>
    <t>ORÇAMENTO ANUAL..................</t>
  </si>
  <si>
    <t>Management Fee................................</t>
  </si>
  <si>
    <t>7</t>
  </si>
  <si>
    <t>COMBUSTÍVEL......................</t>
  </si>
  <si>
    <t>INVESTIMENTO INICIAL.........</t>
  </si>
  <si>
    <t xml:space="preserve">        Running Costs:</t>
  </si>
  <si>
    <t xml:space="preserve"> PTEx1000</t>
  </si>
  <si>
    <t>C.A.I.......</t>
  </si>
  <si>
    <t>(dia)</t>
  </si>
  <si>
    <t>Anual.......</t>
  </si>
  <si>
    <t>Mensal......</t>
  </si>
  <si>
    <t>Remarks:</t>
  </si>
  <si>
    <t>TBN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</si>
</sst>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General_)"/>
    <numFmt numFmtId="173" formatCode="0_)"/>
    <numFmt numFmtId="174" formatCode="0.00_)"/>
    <numFmt numFmtId="175" formatCode="#,##0_);\(#,##0\)"/>
    <numFmt numFmtId="176" formatCode="0.000_)"/>
    <numFmt numFmtId="177" formatCode="#,##0&quot;Esc.&quot;_);\(#,##0&quot;Esc.&quot;\)"/>
    <numFmt numFmtId="178" formatCode="#,##0.000_);\(#,##0.000\)"/>
    <numFmt numFmtId="179" formatCode="0.0%"/>
    <numFmt numFmtId="180" formatCode="dd/mmm/yy_)"/>
    <numFmt numFmtId="181" formatCode="#,##0.00_);\(#,##0.00\)"/>
    <numFmt numFmtId="182" formatCode="#,##0.0&quot;Esc.&quot;_);\(#,##0.0&quot;Esc.&quot;\)"/>
    <numFmt numFmtId="183" formatCode="#,##0.00&quot;Esc.&quot;_);\(#,##0.00&quot;Esc.&quot;\)"/>
    <numFmt numFmtId="184" formatCode="#,##0.000&quot;Esc.&quot;_);\(#,##0.000&quot;Esc.&quot;\)"/>
    <numFmt numFmtId="185" formatCode="0.000%"/>
    <numFmt numFmtId="186" formatCode="#,##0.0_);\(#,##0.0\)"/>
    <numFmt numFmtId="187" formatCode="_-* #,##0.000\ _E_s_c_._-;\-* #,##0.000\ _E_s_c_._-;_-* &quot;-&quot;??\ _E_s_c_._-;_-@_-"/>
    <numFmt numFmtId="188" formatCode="_-* #,##0.0\ _E_s_c_._-;\-* #,##0.0\ _E_s_c_._-;_-* &quot;-&quot;??\ _E_s_c_._-;_-@_-"/>
    <numFmt numFmtId="189" formatCode="_-* #,##0\ _E_s_c_._-;\-* #,##0\ _E_s_c_._-;_-* &quot;-&quot;??\ _E_s_c_._-;_-@_-"/>
    <numFmt numFmtId="190" formatCode="0.0_)"/>
    <numFmt numFmtId="191" formatCode="_-* #,##0.0\ &quot;Esc.&quot;_-;\-* #,##0.0\ &quot;Esc.&quot;_-;_-* &quot;-&quot;??\ &quot;Esc.&quot;_-;_-@_-"/>
    <numFmt numFmtId="192" formatCode="_-* #,##0\ &quot;Esc.&quot;_-;\-* #,##0\ &quot;Esc.&quot;_-;_-* &quot;-&quot;??\ &quot;Esc.&quot;_-;_-@_-"/>
    <numFmt numFmtId="193" formatCode="_-* #,##0.0000\ _E_s_c_._-;\-* #,##0.0000\ _E_s_c_._-;_-* &quot;-&quot;??\ _E_s_c_._-;_-@_-"/>
    <numFmt numFmtId="194" formatCode="_-* #,##0.00000\ _E_s_c_._-;\-* #,##0.00000\ _E_s_c_._-;_-* &quot;-&quot;??\ _E_s_c_._-;_-@_-"/>
    <numFmt numFmtId="195" formatCode="0.0"/>
  </numFmts>
  <fonts count="2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0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2"/>
      <color indexed="8"/>
      <name val="Courier"/>
      <family val="0"/>
    </font>
    <font>
      <b/>
      <sz val="10"/>
      <color indexed="8"/>
      <name val="Arial"/>
      <family val="2"/>
    </font>
    <font>
      <b/>
      <sz val="10"/>
      <color indexed="8"/>
      <name val="Courier"/>
      <family val="0"/>
    </font>
    <font>
      <b/>
      <sz val="20"/>
      <color indexed="8"/>
      <name val="Arial"/>
      <family val="2"/>
    </font>
    <font>
      <sz val="10"/>
      <color indexed="44"/>
      <name val="Arial"/>
      <family val="2"/>
    </font>
    <font>
      <sz val="10"/>
      <color indexed="17"/>
      <name val="Arial"/>
      <family val="2"/>
    </font>
    <font>
      <sz val="10"/>
      <color indexed="8"/>
      <name val="Courier"/>
      <family val="0"/>
    </font>
    <font>
      <sz val="10"/>
      <color indexed="9"/>
      <name val="Arial"/>
      <family val="2"/>
    </font>
    <font>
      <b/>
      <sz val="10"/>
      <name val="Courier"/>
      <family val="0"/>
    </font>
    <font>
      <b/>
      <sz val="8"/>
      <color indexed="8"/>
      <name val="Arial"/>
      <family val="0"/>
    </font>
    <font>
      <b/>
      <sz val="12"/>
      <name val="Courier"/>
      <family val="0"/>
    </font>
    <font>
      <sz val="12"/>
      <name val="Courier"/>
      <family val="0"/>
    </font>
    <font>
      <sz val="10"/>
      <color indexed="39"/>
      <name val="Arial"/>
      <family val="2"/>
    </font>
    <font>
      <sz val="14"/>
      <color indexed="8"/>
      <name val="Arial"/>
      <family val="2"/>
    </font>
    <font>
      <b/>
      <i/>
      <sz val="16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</cellStyleXfs>
  <cellXfs count="580">
    <xf numFmtId="172" fontId="0" fillId="0" borderId="0" xfId="0" applyAlignment="1">
      <alignment/>
    </xf>
    <xf numFmtId="172" fontId="0" fillId="0" borderId="0" xfId="0" applyNumberFormat="1" applyAlignment="1" applyProtection="1" quotePrefix="1">
      <alignment horizontal="left"/>
      <protection/>
    </xf>
    <xf numFmtId="172" fontId="0" fillId="0" borderId="0" xfId="0" applyNumberFormat="1" applyAlignment="1" applyProtection="1">
      <alignment horizontal="left"/>
      <protection/>
    </xf>
    <xf numFmtId="173" fontId="0" fillId="0" borderId="0" xfId="0" applyNumberFormat="1" applyAlignment="1" applyProtection="1">
      <alignment horizontal="left"/>
      <protection/>
    </xf>
    <xf numFmtId="172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 quotePrefix="1">
      <alignment horizontal="left"/>
      <protection/>
    </xf>
    <xf numFmtId="172" fontId="4" fillId="0" borderId="0" xfId="0" applyNumberFormat="1" applyFont="1" applyAlignment="1" applyProtection="1">
      <alignment horizontal="center"/>
      <protection/>
    </xf>
    <xf numFmtId="174" fontId="4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 horizontal="left"/>
      <protection locked="0"/>
    </xf>
    <xf numFmtId="173" fontId="4" fillId="0" borderId="0" xfId="0" applyNumberFormat="1" applyFont="1" applyAlignment="1" applyProtection="1">
      <alignment horizontal="left"/>
      <protection/>
    </xf>
    <xf numFmtId="172" fontId="4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 locked="0"/>
    </xf>
    <xf numFmtId="173" fontId="4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 locked="0"/>
    </xf>
    <xf numFmtId="175" fontId="5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center"/>
      <protection locked="0"/>
    </xf>
    <xf numFmtId="172" fontId="4" fillId="0" borderId="0" xfId="0" applyNumberFormat="1" applyFont="1" applyAlignment="1" applyProtection="1">
      <alignment horizontal="right"/>
      <protection/>
    </xf>
    <xf numFmtId="177" fontId="4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/>
      <protection/>
    </xf>
    <xf numFmtId="175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 horizontal="left"/>
      <protection/>
    </xf>
    <xf numFmtId="180" fontId="4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 horizontal="left"/>
      <protection locked="0"/>
    </xf>
    <xf numFmtId="172" fontId="4" fillId="0" borderId="0" xfId="0" applyNumberFormat="1" applyFont="1" applyAlignment="1" applyProtection="1">
      <alignment horizontal="fill"/>
      <protection/>
    </xf>
    <xf numFmtId="189" fontId="4" fillId="0" borderId="0" xfId="19" applyNumberFormat="1" applyFont="1" applyAlignment="1" applyProtection="1">
      <alignment/>
      <protection/>
    </xf>
    <xf numFmtId="189" fontId="4" fillId="0" borderId="0" xfId="19" applyNumberFormat="1" applyFont="1" applyAlignment="1" applyProtection="1">
      <alignment horizontal="left"/>
      <protection/>
    </xf>
    <xf numFmtId="189" fontId="4" fillId="0" borderId="0" xfId="19" applyNumberFormat="1" applyFont="1" applyAlignment="1">
      <alignment/>
    </xf>
    <xf numFmtId="172" fontId="9" fillId="0" borderId="0" xfId="0" applyNumberFormat="1" applyFont="1" applyAlignment="1" applyProtection="1">
      <alignment/>
      <protection locked="0"/>
    </xf>
    <xf numFmtId="172" fontId="8" fillId="0" borderId="0" xfId="0" applyFont="1" applyAlignment="1">
      <alignment/>
    </xf>
    <xf numFmtId="189" fontId="5" fillId="0" borderId="0" xfId="19" applyNumberFormat="1" applyFont="1" applyAlignment="1" applyProtection="1">
      <alignment/>
      <protection locked="0"/>
    </xf>
    <xf numFmtId="172" fontId="8" fillId="0" borderId="0" xfId="0" applyNumberFormat="1" applyFont="1" applyAlignment="1" applyProtection="1">
      <alignment horizontal="left"/>
      <protection/>
    </xf>
    <xf numFmtId="172" fontId="8" fillId="0" borderId="0" xfId="0" applyNumberFormat="1" applyFont="1" applyAlignment="1" applyProtection="1">
      <alignment horizontal="center"/>
      <protection/>
    </xf>
    <xf numFmtId="172" fontId="5" fillId="0" borderId="1" xfId="0" applyNumberFormat="1" applyFont="1" applyBorder="1" applyAlignment="1" applyProtection="1">
      <alignment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175" fontId="5" fillId="0" borderId="0" xfId="0" applyNumberFormat="1" applyFont="1" applyBorder="1" applyAlignment="1" applyProtection="1">
      <alignment/>
      <protection locked="0"/>
    </xf>
    <xf numFmtId="172" fontId="5" fillId="0" borderId="1" xfId="0" applyNumberFormat="1" applyFont="1" applyBorder="1" applyAlignment="1" applyProtection="1">
      <alignment horizontal="left"/>
      <protection locked="0"/>
    </xf>
    <xf numFmtId="172" fontId="0" fillId="0" borderId="2" xfId="0" applyNumberFormat="1" applyBorder="1" applyAlignment="1" applyProtection="1" quotePrefix="1">
      <alignment horizontal="left"/>
      <protection/>
    </xf>
    <xf numFmtId="172" fontId="0" fillId="0" borderId="3" xfId="0" applyNumberFormat="1" applyBorder="1" applyAlignment="1" applyProtection="1">
      <alignment horizontal="left"/>
      <protection/>
    </xf>
    <xf numFmtId="172" fontId="0" fillId="0" borderId="3" xfId="0" applyNumberFormat="1" applyBorder="1" applyAlignment="1" applyProtection="1" quotePrefix="1">
      <alignment horizontal="left"/>
      <protection/>
    </xf>
    <xf numFmtId="172" fontId="0" fillId="0" borderId="4" xfId="0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NumberFormat="1" applyFont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 quotePrefix="1">
      <alignment horizontal="left"/>
      <protection/>
    </xf>
    <xf numFmtId="172" fontId="4" fillId="0" borderId="5" xfId="0" applyFont="1" applyBorder="1" applyAlignment="1">
      <alignment/>
    </xf>
    <xf numFmtId="172" fontId="5" fillId="0" borderId="0" xfId="0" applyNumberFormat="1" applyFont="1" applyBorder="1" applyAlignment="1" applyProtection="1">
      <alignment horizontal="left"/>
      <protection locked="0"/>
    </xf>
    <xf numFmtId="172" fontId="4" fillId="0" borderId="5" xfId="0" applyNumberFormat="1" applyFont="1" applyBorder="1" applyAlignment="1" applyProtection="1">
      <alignment horizontal="left"/>
      <protection/>
    </xf>
    <xf numFmtId="172" fontId="0" fillId="0" borderId="1" xfId="0" applyNumberFormat="1" applyBorder="1" applyAlignment="1" applyProtection="1">
      <alignment horizontal="left"/>
      <protection/>
    </xf>
    <xf numFmtId="172" fontId="4" fillId="0" borderId="6" xfId="0" applyFont="1" applyBorder="1" applyAlignment="1">
      <alignment/>
    </xf>
    <xf numFmtId="172" fontId="4" fillId="0" borderId="7" xfId="0" applyFont="1" applyBorder="1" applyAlignment="1">
      <alignment/>
    </xf>
    <xf numFmtId="172" fontId="0" fillId="0" borderId="2" xfId="0" applyNumberFormat="1" applyBorder="1" applyAlignment="1" applyProtection="1">
      <alignment horizontal="left"/>
      <protection/>
    </xf>
    <xf numFmtId="172" fontId="0" fillId="0" borderId="4" xfId="0" applyNumberFormat="1" applyBorder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 horizontal="center"/>
      <protection/>
    </xf>
    <xf numFmtId="172" fontId="1" fillId="0" borderId="0" xfId="0" applyFont="1" applyBorder="1" applyAlignment="1">
      <alignment/>
    </xf>
    <xf numFmtId="172" fontId="1" fillId="0" borderId="1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" xfId="0" applyFont="1" applyBorder="1" applyAlignment="1">
      <alignment/>
    </xf>
    <xf numFmtId="172" fontId="4" fillId="0" borderId="0" xfId="0" applyNumberFormat="1" applyFont="1" applyBorder="1" applyAlignment="1" applyProtection="1">
      <alignment horizontal="center"/>
      <protection/>
    </xf>
    <xf numFmtId="172" fontId="4" fillId="0" borderId="5" xfId="0" applyNumberFormat="1" applyFont="1" applyBorder="1" applyAlignment="1" applyProtection="1">
      <alignment horizontal="center"/>
      <protection/>
    </xf>
    <xf numFmtId="173" fontId="5" fillId="0" borderId="0" xfId="0" applyNumberFormat="1" applyFont="1" applyBorder="1" applyAlignment="1" applyProtection="1">
      <alignment/>
      <protection locked="0"/>
    </xf>
    <xf numFmtId="9" fontId="4" fillId="0" borderId="5" xfId="0" applyNumberFormat="1" applyFont="1" applyBorder="1" applyAlignment="1" applyProtection="1">
      <alignment/>
      <protection/>
    </xf>
    <xf numFmtId="10" fontId="4" fillId="0" borderId="5" xfId="0" applyNumberFormat="1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/>
      <protection/>
    </xf>
    <xf numFmtId="172" fontId="4" fillId="0" borderId="1" xfId="0" applyNumberFormat="1" applyFont="1" applyBorder="1" applyAlignment="1" applyProtection="1">
      <alignment horizontal="left"/>
      <protection/>
    </xf>
    <xf numFmtId="172" fontId="4" fillId="0" borderId="8" xfId="0" applyFont="1" applyBorder="1" applyAlignment="1">
      <alignment/>
    </xf>
    <xf numFmtId="172" fontId="4" fillId="0" borderId="6" xfId="0" applyNumberFormat="1" applyFont="1" applyBorder="1" applyAlignment="1" applyProtection="1">
      <alignment horizontal="left"/>
      <protection/>
    </xf>
    <xf numFmtId="172" fontId="0" fillId="0" borderId="3" xfId="0" applyBorder="1" applyAlignment="1">
      <alignment/>
    </xf>
    <xf numFmtId="172" fontId="4" fillId="0" borderId="1" xfId="0" applyNumberFormat="1" applyFont="1" applyBorder="1" applyAlignment="1" applyProtection="1" quotePrefix="1">
      <alignment horizontal="left"/>
      <protection/>
    </xf>
    <xf numFmtId="174" fontId="4" fillId="0" borderId="0" xfId="0" applyNumberFormat="1" applyFont="1" applyBorder="1" applyAlignment="1" applyProtection="1">
      <alignment/>
      <protection/>
    </xf>
    <xf numFmtId="172" fontId="6" fillId="0" borderId="0" xfId="0" applyNumberFormat="1" applyFont="1" applyBorder="1" applyAlignment="1" applyProtection="1">
      <alignment horizontal="left"/>
      <protection locked="0"/>
    </xf>
    <xf numFmtId="172" fontId="4" fillId="0" borderId="0" xfId="0" applyNumberFormat="1" applyFont="1" applyBorder="1" applyAlignment="1" applyProtection="1">
      <alignment horizontal="right"/>
      <protection/>
    </xf>
    <xf numFmtId="172" fontId="0" fillId="0" borderId="0" xfId="0" applyBorder="1" applyAlignment="1">
      <alignment/>
    </xf>
    <xf numFmtId="172" fontId="8" fillId="0" borderId="0" xfId="0" applyNumberFormat="1" applyFont="1" applyBorder="1" applyAlignment="1" applyProtection="1">
      <alignment horizontal="left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172" fontId="5" fillId="0" borderId="0" xfId="0" applyNumberFormat="1" applyFont="1" applyBorder="1" applyAlignment="1" applyProtection="1">
      <alignment horizontal="right"/>
      <protection locked="0"/>
    </xf>
    <xf numFmtId="172" fontId="5" fillId="0" borderId="5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 applyProtection="1">
      <alignment/>
      <protection/>
    </xf>
    <xf numFmtId="189" fontId="4" fillId="0" borderId="5" xfId="19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 horizontal="left"/>
      <protection/>
    </xf>
    <xf numFmtId="172" fontId="7" fillId="0" borderId="0" xfId="0" applyFont="1" applyBorder="1" applyAlignment="1">
      <alignment/>
    </xf>
    <xf numFmtId="173" fontId="7" fillId="0" borderId="0" xfId="0" applyNumberFormat="1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 horizontal="left"/>
      <protection/>
    </xf>
    <xf numFmtId="189" fontId="4" fillId="0" borderId="5" xfId="19" applyNumberFormat="1" applyFont="1" applyBorder="1" applyAlignment="1" applyProtection="1">
      <alignment horizontal="left"/>
      <protection/>
    </xf>
    <xf numFmtId="189" fontId="4" fillId="0" borderId="5" xfId="19" applyNumberFormat="1" applyFont="1" applyBorder="1" applyAlignment="1">
      <alignment/>
    </xf>
    <xf numFmtId="189" fontId="4" fillId="0" borderId="7" xfId="19" applyNumberFormat="1" applyFont="1" applyBorder="1" applyAlignment="1">
      <alignment/>
    </xf>
    <xf numFmtId="172" fontId="4" fillId="0" borderId="5" xfId="0" applyNumberFormat="1" applyFont="1" applyBorder="1" applyAlignment="1" applyProtection="1">
      <alignment/>
      <protection/>
    </xf>
    <xf numFmtId="172" fontId="7" fillId="0" borderId="5" xfId="0" applyFont="1" applyBorder="1" applyAlignment="1">
      <alignment/>
    </xf>
    <xf numFmtId="172" fontId="7" fillId="0" borderId="5" xfId="0" applyNumberFormat="1" applyFont="1" applyBorder="1" applyAlignment="1" applyProtection="1">
      <alignment horizontal="left"/>
      <protection/>
    </xf>
    <xf numFmtId="172" fontId="0" fillId="0" borderId="0" xfId="0" applyNumberFormat="1" applyBorder="1" applyAlignment="1" applyProtection="1" quotePrefix="1">
      <alignment horizontal="left"/>
      <protection/>
    </xf>
    <xf numFmtId="172" fontId="0" fillId="0" borderId="4" xfId="0" applyNumberFormat="1" applyBorder="1" applyAlignment="1" applyProtection="1" quotePrefix="1">
      <alignment horizontal="left"/>
      <protection/>
    </xf>
    <xf numFmtId="172" fontId="4" fillId="0" borderId="5" xfId="0" applyNumberFormat="1" applyFont="1" applyBorder="1" applyAlignment="1" applyProtection="1" quotePrefix="1">
      <alignment horizontal="left"/>
      <protection/>
    </xf>
    <xf numFmtId="172" fontId="4" fillId="2" borderId="0" xfId="0" applyNumberFormat="1" applyFont="1" applyFill="1" applyAlignment="1" applyProtection="1">
      <alignment horizontal="left"/>
      <protection/>
    </xf>
    <xf numFmtId="172" fontId="4" fillId="2" borderId="0" xfId="0" applyFont="1" applyFill="1" applyAlignment="1">
      <alignment/>
    </xf>
    <xf numFmtId="173" fontId="4" fillId="2" borderId="0" xfId="0" applyNumberFormat="1" applyFont="1" applyFill="1" applyAlignment="1" applyProtection="1">
      <alignment/>
      <protection/>
    </xf>
    <xf numFmtId="172" fontId="4" fillId="2" borderId="0" xfId="0" applyNumberFormat="1" applyFont="1" applyFill="1" applyBorder="1" applyAlignment="1" applyProtection="1">
      <alignment horizontal="center"/>
      <protection/>
    </xf>
    <xf numFmtId="172" fontId="4" fillId="2" borderId="0" xfId="0" applyNumberFormat="1" applyFont="1" applyFill="1" applyBorder="1" applyAlignment="1" applyProtection="1">
      <alignment horizontal="left"/>
      <protection/>
    </xf>
    <xf numFmtId="172" fontId="4" fillId="2" borderId="0" xfId="0" applyFont="1" applyFill="1" applyBorder="1" applyAlignment="1">
      <alignment/>
    </xf>
    <xf numFmtId="172" fontId="4" fillId="2" borderId="0" xfId="0" applyNumberFormat="1" applyFont="1" applyFill="1" applyBorder="1" applyAlignment="1" applyProtection="1">
      <alignment/>
      <protection/>
    </xf>
    <xf numFmtId="172" fontId="8" fillId="0" borderId="0" xfId="0" applyNumberFormat="1" applyFont="1" applyBorder="1" applyAlignment="1" applyProtection="1">
      <alignment horizontal="left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172" fontId="9" fillId="0" borderId="0" xfId="0" applyNumberFormat="1" applyFont="1" applyBorder="1" applyAlignment="1" applyProtection="1">
      <alignment/>
      <protection locked="0"/>
    </xf>
    <xf numFmtId="173" fontId="4" fillId="0" borderId="0" xfId="0" applyNumberFormat="1" applyFont="1" applyBorder="1" applyAlignment="1" applyProtection="1">
      <alignment horizontal="center"/>
      <protection/>
    </xf>
    <xf numFmtId="189" fontId="4" fillId="0" borderId="0" xfId="19" applyNumberFormat="1" applyFont="1" applyBorder="1" applyAlignment="1" applyProtection="1">
      <alignment/>
      <protection/>
    </xf>
    <xf numFmtId="189" fontId="4" fillId="2" borderId="0" xfId="19" applyNumberFormat="1" applyFont="1" applyFill="1" applyBorder="1" applyAlignment="1" applyProtection="1">
      <alignment/>
      <protection/>
    </xf>
    <xf numFmtId="173" fontId="4" fillId="2" borderId="0" xfId="0" applyNumberFormat="1" applyFont="1" applyFill="1" applyBorder="1" applyAlignment="1" applyProtection="1">
      <alignment/>
      <protection/>
    </xf>
    <xf numFmtId="189" fontId="4" fillId="2" borderId="5" xfId="19" applyNumberFormat="1" applyFont="1" applyFill="1" applyBorder="1" applyAlignment="1" applyProtection="1">
      <alignment/>
      <protection/>
    </xf>
    <xf numFmtId="189" fontId="4" fillId="2" borderId="0" xfId="19" applyNumberFormat="1" applyFont="1" applyFill="1" applyAlignment="1" applyProtection="1">
      <alignment/>
      <protection/>
    </xf>
    <xf numFmtId="172" fontId="8" fillId="0" borderId="0" xfId="0" applyFont="1" applyBorder="1" applyAlignment="1">
      <alignment/>
    </xf>
    <xf numFmtId="172" fontId="4" fillId="2" borderId="1" xfId="0" applyNumberFormat="1" applyFont="1" applyFill="1" applyBorder="1" applyAlignment="1" applyProtection="1">
      <alignment horizontal="left"/>
      <protection/>
    </xf>
    <xf numFmtId="172" fontId="12" fillId="0" borderId="0" xfId="0" applyNumberFormat="1" applyFont="1" applyBorder="1" applyAlignment="1" applyProtection="1">
      <alignment horizontal="left"/>
      <protection locked="0"/>
    </xf>
    <xf numFmtId="172" fontId="12" fillId="0" borderId="0" xfId="0" applyNumberFormat="1" applyFont="1" applyBorder="1" applyAlignment="1" applyProtection="1">
      <alignment/>
      <protection locked="0"/>
    </xf>
    <xf numFmtId="172" fontId="0" fillId="0" borderId="1" xfId="0" applyBorder="1" applyAlignment="1">
      <alignment/>
    </xf>
    <xf numFmtId="172" fontId="12" fillId="0" borderId="0" xfId="0" applyFont="1" applyBorder="1" applyAlignment="1">
      <alignment/>
    </xf>
    <xf numFmtId="172" fontId="13" fillId="0" borderId="0" xfId="0" applyFont="1" applyBorder="1" applyAlignment="1">
      <alignment/>
    </xf>
    <xf numFmtId="172" fontId="12" fillId="0" borderId="0" xfId="0" applyNumberFormat="1" applyFont="1" applyBorder="1" applyAlignment="1" applyProtection="1" quotePrefix="1">
      <alignment horizontal="left"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172" fontId="4" fillId="2" borderId="0" xfId="0" applyNumberFormat="1" applyFont="1" applyFill="1" applyAlignment="1" applyProtection="1">
      <alignment/>
      <protection/>
    </xf>
    <xf numFmtId="174" fontId="4" fillId="2" borderId="0" xfId="0" applyNumberFormat="1" applyFont="1" applyFill="1" applyAlignment="1" applyProtection="1">
      <alignment/>
      <protection/>
    </xf>
    <xf numFmtId="172" fontId="4" fillId="2" borderId="0" xfId="0" applyNumberFormat="1" applyFont="1" applyFill="1" applyAlignment="1" applyProtection="1" quotePrefix="1">
      <alignment horizontal="left"/>
      <protection/>
    </xf>
    <xf numFmtId="172" fontId="4" fillId="0" borderId="2" xfId="0" applyFont="1" applyBorder="1" applyAlignment="1">
      <alignment/>
    </xf>
    <xf numFmtId="172" fontId="4" fillId="0" borderId="3" xfId="0" applyFont="1" applyBorder="1" applyAlignment="1">
      <alignment/>
    </xf>
    <xf numFmtId="172" fontId="4" fillId="0" borderId="4" xfId="0" applyNumberFormat="1" applyFont="1" applyBorder="1" applyAlignment="1" applyProtection="1">
      <alignment horizontal="left"/>
      <protection/>
    </xf>
    <xf numFmtId="172" fontId="4" fillId="2" borderId="1" xfId="0" applyFont="1" applyFill="1" applyBorder="1" applyAlignment="1">
      <alignment/>
    </xf>
    <xf numFmtId="174" fontId="4" fillId="0" borderId="0" xfId="0" applyNumberFormat="1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/>
      <protection/>
    </xf>
    <xf numFmtId="174" fontId="4" fillId="2" borderId="0" xfId="0" applyNumberFormat="1" applyFont="1" applyFill="1" applyBorder="1" applyAlignment="1" applyProtection="1">
      <alignment/>
      <protection/>
    </xf>
    <xf numFmtId="189" fontId="4" fillId="0" borderId="0" xfId="19" applyNumberFormat="1" applyFont="1" applyBorder="1" applyAlignment="1" applyProtection="1">
      <alignment horizontal="left"/>
      <protection/>
    </xf>
    <xf numFmtId="172" fontId="0" fillId="0" borderId="2" xfId="0" applyBorder="1" applyAlignment="1">
      <alignment/>
    </xf>
    <xf numFmtId="172" fontId="8" fillId="0" borderId="0" xfId="0" applyNumberFormat="1" applyFont="1" applyBorder="1" applyAlignment="1" applyProtection="1" quotePrefix="1">
      <alignment horizontal="left"/>
      <protection locked="0"/>
    </xf>
    <xf numFmtId="172" fontId="11" fillId="0" borderId="0" xfId="0" applyFont="1" applyBorder="1" applyAlignment="1">
      <alignment/>
    </xf>
    <xf numFmtId="174" fontId="4" fillId="0" borderId="5" xfId="0" applyNumberFormat="1" applyFont="1" applyBorder="1" applyAlignment="1" applyProtection="1">
      <alignment/>
      <protection/>
    </xf>
    <xf numFmtId="189" fontId="4" fillId="0" borderId="0" xfId="19" applyNumberFormat="1" applyFont="1" applyBorder="1" applyAlignment="1">
      <alignment/>
    </xf>
    <xf numFmtId="189" fontId="4" fillId="3" borderId="0" xfId="19" applyNumberFormat="1" applyFont="1" applyFill="1" applyBorder="1" applyAlignment="1" applyProtection="1">
      <alignment horizontal="left"/>
      <protection/>
    </xf>
    <xf numFmtId="178" fontId="4" fillId="3" borderId="0" xfId="0" applyNumberFormat="1" applyFont="1" applyFill="1" applyBorder="1" applyAlignment="1" applyProtection="1">
      <alignment/>
      <protection/>
    </xf>
    <xf numFmtId="172" fontId="4" fillId="3" borderId="0" xfId="0" applyFont="1" applyFill="1" applyBorder="1" applyAlignment="1">
      <alignment/>
    </xf>
    <xf numFmtId="172" fontId="4" fillId="0" borderId="8" xfId="0" applyNumberFormat="1" applyFont="1" applyBorder="1" applyAlignment="1" applyProtection="1">
      <alignment horizontal="left"/>
      <protection/>
    </xf>
    <xf numFmtId="172" fontId="4" fillId="0" borderId="7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 horizontal="left"/>
      <protection locked="0"/>
    </xf>
    <xf numFmtId="176" fontId="5" fillId="0" borderId="0" xfId="0" applyNumberFormat="1" applyFont="1" applyBorder="1" applyAlignment="1" applyProtection="1">
      <alignment horizontal="left"/>
      <protection locked="0"/>
    </xf>
    <xf numFmtId="172" fontId="4" fillId="0" borderId="2" xfId="0" applyNumberFormat="1" applyFont="1" applyBorder="1" applyAlignment="1" applyProtection="1">
      <alignment horizontal="center"/>
      <protection/>
    </xf>
    <xf numFmtId="172" fontId="8" fillId="0" borderId="0" xfId="0" applyNumberFormat="1" applyFont="1" applyBorder="1" applyAlignment="1" applyProtection="1">
      <alignment horizontal="left"/>
      <protection/>
    </xf>
    <xf numFmtId="9" fontId="4" fillId="0" borderId="0" xfId="0" applyNumberFormat="1" applyFont="1" applyBorder="1" applyAlignment="1" applyProtection="1">
      <alignment/>
      <protection/>
    </xf>
    <xf numFmtId="179" fontId="4" fillId="0" borderId="0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 horizontal="left"/>
      <protection locked="0"/>
    </xf>
    <xf numFmtId="189" fontId="5" fillId="0" borderId="5" xfId="19" applyNumberFormat="1" applyFont="1" applyBorder="1" applyAlignment="1" applyProtection="1">
      <alignment/>
      <protection locked="0"/>
    </xf>
    <xf numFmtId="174" fontId="4" fillId="0" borderId="0" xfId="0" applyNumberFormat="1" applyFont="1" applyBorder="1" applyAlignment="1" applyProtection="1">
      <alignment horizontal="left"/>
      <protection/>
    </xf>
    <xf numFmtId="174" fontId="4" fillId="0" borderId="5" xfId="0" applyNumberFormat="1" applyFont="1" applyBorder="1" applyAlignment="1" applyProtection="1">
      <alignment horizontal="center"/>
      <protection/>
    </xf>
    <xf numFmtId="172" fontId="5" fillId="3" borderId="0" xfId="0" applyNumberFormat="1" applyFont="1" applyFill="1" applyBorder="1" applyAlignment="1" applyProtection="1">
      <alignment horizontal="left"/>
      <protection locked="0"/>
    </xf>
    <xf numFmtId="189" fontId="5" fillId="0" borderId="0" xfId="19" applyNumberFormat="1" applyFont="1" applyBorder="1" applyAlignment="1" applyProtection="1">
      <alignment/>
      <protection locked="0"/>
    </xf>
    <xf numFmtId="172" fontId="4" fillId="0" borderId="2" xfId="0" applyNumberFormat="1" applyFont="1" applyBorder="1" applyAlignment="1" applyProtection="1" quotePrefix="1">
      <alignment horizontal="left"/>
      <protection/>
    </xf>
    <xf numFmtId="172" fontId="4" fillId="0" borderId="3" xfId="0" applyNumberFormat="1" applyFont="1" applyBorder="1" applyAlignment="1" applyProtection="1">
      <alignment horizontal="left"/>
      <protection/>
    </xf>
    <xf numFmtId="172" fontId="4" fillId="0" borderId="4" xfId="0" applyNumberFormat="1" applyFont="1" applyBorder="1" applyAlignment="1" applyProtection="1" quotePrefix="1">
      <alignment horizontal="left"/>
      <protection/>
    </xf>
    <xf numFmtId="17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left"/>
      <protection/>
    </xf>
    <xf numFmtId="172" fontId="4" fillId="0" borderId="7" xfId="0" applyNumberFormat="1" applyFont="1" applyBorder="1" applyAlignment="1" applyProtection="1" quotePrefix="1">
      <alignment horizontal="left"/>
      <protection/>
    </xf>
    <xf numFmtId="172" fontId="4" fillId="0" borderId="3" xfId="0" applyNumberFormat="1" applyFont="1" applyBorder="1" applyAlignment="1" applyProtection="1" quotePrefix="1">
      <alignment horizontal="left"/>
      <protection/>
    </xf>
    <xf numFmtId="175" fontId="4" fillId="0" borderId="0" xfId="0" applyNumberFormat="1" applyFont="1" applyBorder="1" applyAlignment="1" applyProtection="1">
      <alignment/>
      <protection/>
    </xf>
    <xf numFmtId="172" fontId="4" fillId="0" borderId="8" xfId="0" applyNumberFormat="1" applyFont="1" applyBorder="1" applyAlignment="1" applyProtection="1" quotePrefix="1">
      <alignment horizontal="left"/>
      <protection/>
    </xf>
    <xf numFmtId="172" fontId="4" fillId="0" borderId="6" xfId="0" applyNumberFormat="1" applyFont="1" applyBorder="1" applyAlignment="1" applyProtection="1" quotePrefix="1">
      <alignment horizontal="left"/>
      <protection/>
    </xf>
    <xf numFmtId="172" fontId="14" fillId="0" borderId="0" xfId="0" applyNumberFormat="1" applyFont="1" applyBorder="1" applyAlignment="1" applyProtection="1">
      <alignment horizontal="left"/>
      <protection locked="0"/>
    </xf>
    <xf numFmtId="172" fontId="9" fillId="0" borderId="0" xfId="0" applyNumberFormat="1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/>
      <protection/>
    </xf>
    <xf numFmtId="172" fontId="4" fillId="0" borderId="0" xfId="0" applyFont="1" applyBorder="1" applyAlignment="1" quotePrefix="1">
      <alignment/>
    </xf>
    <xf numFmtId="172" fontId="4" fillId="2" borderId="0" xfId="0" applyNumberFormat="1" applyFont="1" applyFill="1" applyBorder="1" applyAlignment="1" applyProtection="1">
      <alignment horizontal="right"/>
      <protection/>
    </xf>
    <xf numFmtId="172" fontId="0" fillId="0" borderId="9" xfId="0" applyBorder="1" applyAlignment="1">
      <alignment/>
    </xf>
    <xf numFmtId="172" fontId="4" fillId="2" borderId="5" xfId="0" applyNumberFormat="1" applyFont="1" applyFill="1" applyBorder="1" applyAlignment="1" applyProtection="1">
      <alignment horizontal="center"/>
      <protection/>
    </xf>
    <xf numFmtId="173" fontId="5" fillId="2" borderId="0" xfId="0" applyNumberFormat="1" applyFont="1" applyFill="1" applyBorder="1" applyAlignment="1" applyProtection="1">
      <alignment/>
      <protection locked="0"/>
    </xf>
    <xf numFmtId="172" fontId="4" fillId="2" borderId="0" xfId="0" applyNumberFormat="1" applyFont="1" applyFill="1" applyBorder="1" applyAlignment="1" applyProtection="1" quotePrefix="1">
      <alignment horizontal="left"/>
      <protection/>
    </xf>
    <xf numFmtId="172" fontId="4" fillId="2" borderId="2" xfId="0" applyNumberFormat="1" applyFont="1" applyFill="1" applyBorder="1" applyAlignment="1" applyProtection="1">
      <alignment horizontal="left"/>
      <protection/>
    </xf>
    <xf numFmtId="178" fontId="5" fillId="2" borderId="0" xfId="0" applyNumberFormat="1" applyFont="1" applyFill="1" applyBorder="1" applyAlignment="1" applyProtection="1">
      <alignment horizontal="left"/>
      <protection locked="0"/>
    </xf>
    <xf numFmtId="189" fontId="5" fillId="2" borderId="0" xfId="19" applyNumberFormat="1" applyFont="1" applyFill="1" applyBorder="1" applyAlignment="1" applyProtection="1">
      <alignment/>
      <protection locked="0"/>
    </xf>
    <xf numFmtId="172" fontId="5" fillId="3" borderId="0" xfId="0" applyNumberFormat="1" applyFont="1" applyFill="1" applyBorder="1" applyAlignment="1" applyProtection="1" quotePrefix="1">
      <alignment horizontal="left"/>
      <protection locked="0"/>
    </xf>
    <xf numFmtId="179" fontId="4" fillId="2" borderId="0" xfId="0" applyNumberFormat="1" applyFont="1" applyFill="1" applyBorder="1" applyAlignment="1" applyProtection="1">
      <alignment/>
      <protection/>
    </xf>
    <xf numFmtId="172" fontId="1" fillId="0" borderId="3" xfId="0" applyNumberFormat="1" applyFont="1" applyBorder="1" applyAlignment="1" applyProtection="1">
      <alignment horizontal="center"/>
      <protection/>
    </xf>
    <xf numFmtId="172" fontId="1" fillId="0" borderId="3" xfId="0" applyFont="1" applyBorder="1" applyAlignment="1">
      <alignment/>
    </xf>
    <xf numFmtId="172" fontId="4" fillId="0" borderId="4" xfId="0" applyFont="1" applyBorder="1" applyAlignment="1">
      <alignment/>
    </xf>
    <xf numFmtId="172" fontId="4" fillId="0" borderId="1" xfId="0" applyNumberFormat="1" applyFont="1" applyBorder="1" applyAlignment="1" applyProtection="1">
      <alignment horizontal="center"/>
      <protection/>
    </xf>
    <xf numFmtId="172" fontId="5" fillId="0" borderId="1" xfId="0" applyNumberFormat="1" applyFont="1" applyBorder="1" applyAlignment="1" applyProtection="1">
      <alignment horizontal="center"/>
      <protection locked="0"/>
    </xf>
    <xf numFmtId="172" fontId="4" fillId="0" borderId="2" xfId="0" applyNumberFormat="1" applyFont="1" applyBorder="1" applyAlignment="1" applyProtection="1">
      <alignment horizontal="left"/>
      <protection/>
    </xf>
    <xf numFmtId="172" fontId="10" fillId="0" borderId="1" xfId="0" applyNumberFormat="1" applyFont="1" applyBorder="1" applyAlignment="1" applyProtection="1">
      <alignment horizontal="center"/>
      <protection/>
    </xf>
    <xf numFmtId="172" fontId="8" fillId="0" borderId="1" xfId="0" applyFont="1" applyBorder="1" applyAlignment="1">
      <alignment/>
    </xf>
    <xf numFmtId="172" fontId="12" fillId="0" borderId="0" xfId="0" applyNumberFormat="1" applyFont="1" applyBorder="1" applyAlignment="1" applyProtection="1">
      <alignment horizontal="left"/>
      <protection/>
    </xf>
    <xf numFmtId="10" fontId="5" fillId="0" borderId="0" xfId="0" applyNumberFormat="1" applyFont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77" fontId="4" fillId="0" borderId="5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 horizontal="fill"/>
      <protection/>
    </xf>
    <xf numFmtId="177" fontId="4" fillId="0" borderId="5" xfId="0" applyNumberFormat="1" applyFont="1" applyBorder="1" applyAlignment="1" applyProtection="1">
      <alignment horizontal="left"/>
      <protection/>
    </xf>
    <xf numFmtId="181" fontId="5" fillId="0" borderId="0" xfId="0" applyNumberFormat="1" applyFont="1" applyBorder="1" applyAlignment="1" applyProtection="1">
      <alignment/>
      <protection locked="0"/>
    </xf>
    <xf numFmtId="172" fontId="4" fillId="0" borderId="5" xfId="0" applyNumberFormat="1" applyFont="1" applyBorder="1" applyAlignment="1" applyProtection="1">
      <alignment horizontal="right"/>
      <protection/>
    </xf>
    <xf numFmtId="173" fontId="5" fillId="0" borderId="0" xfId="0" applyNumberFormat="1" applyFont="1" applyBorder="1" applyAlignment="1" applyProtection="1">
      <alignment horizontal="right"/>
      <protection locked="0"/>
    </xf>
    <xf numFmtId="171" fontId="4" fillId="0" borderId="5" xfId="19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 locked="0"/>
    </xf>
    <xf numFmtId="181" fontId="4" fillId="0" borderId="0" xfId="0" applyNumberFormat="1" applyFont="1" applyBorder="1" applyAlignment="1" applyProtection="1">
      <alignment horizontal="right"/>
      <protection/>
    </xf>
    <xf numFmtId="172" fontId="17" fillId="0" borderId="0" xfId="0" applyFont="1" applyAlignment="1">
      <alignment/>
    </xf>
    <xf numFmtId="172" fontId="17" fillId="0" borderId="2" xfId="0" applyNumberFormat="1" applyFont="1" applyBorder="1" applyAlignment="1" applyProtection="1" quotePrefix="1">
      <alignment horizontal="left"/>
      <protection/>
    </xf>
    <xf numFmtId="172" fontId="17" fillId="0" borderId="3" xfId="0" applyNumberFormat="1" applyFont="1" applyBorder="1" applyAlignment="1" applyProtection="1">
      <alignment horizontal="left"/>
      <protection/>
    </xf>
    <xf numFmtId="172" fontId="17" fillId="0" borderId="3" xfId="0" applyNumberFormat="1" applyFont="1" applyBorder="1" applyAlignment="1" applyProtection="1" quotePrefix="1">
      <alignment horizontal="left"/>
      <protection/>
    </xf>
    <xf numFmtId="172" fontId="17" fillId="0" borderId="4" xfId="0" applyFont="1" applyBorder="1" applyAlignment="1">
      <alignment/>
    </xf>
    <xf numFmtId="172" fontId="17" fillId="0" borderId="0" xfId="0" applyNumberFormat="1" applyFont="1" applyAlignment="1" applyProtection="1" quotePrefix="1">
      <alignment horizontal="left"/>
      <protection/>
    </xf>
    <xf numFmtId="172" fontId="17" fillId="0" borderId="1" xfId="0" applyNumberFormat="1" applyFont="1" applyBorder="1" applyAlignment="1" applyProtection="1" quotePrefix="1">
      <alignment horizontal="left"/>
      <protection/>
    </xf>
    <xf numFmtId="172" fontId="9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left"/>
      <protection/>
    </xf>
    <xf numFmtId="172" fontId="9" fillId="0" borderId="0" xfId="0" applyNumberFormat="1" applyFont="1" applyBorder="1" applyAlignment="1" applyProtection="1" quotePrefix="1">
      <alignment horizontal="left"/>
      <protection/>
    </xf>
    <xf numFmtId="172" fontId="9" fillId="0" borderId="5" xfId="0" applyFont="1" applyBorder="1" applyAlignment="1">
      <alignment/>
    </xf>
    <xf numFmtId="172" fontId="9" fillId="0" borderId="0" xfId="0" applyNumberFormat="1" applyFont="1" applyAlignment="1" applyProtection="1" quotePrefix="1">
      <alignment horizontal="left"/>
      <protection/>
    </xf>
    <xf numFmtId="172" fontId="17" fillId="0" borderId="0" xfId="0" applyNumberFormat="1" applyFont="1" applyAlignment="1" applyProtection="1">
      <alignment horizontal="left"/>
      <protection/>
    </xf>
    <xf numFmtId="172" fontId="9" fillId="0" borderId="0" xfId="0" applyNumberFormat="1" applyFont="1" applyBorder="1" applyAlignment="1" applyProtection="1">
      <alignment horizontal="center"/>
      <protection locked="0"/>
    </xf>
    <xf numFmtId="180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2" fontId="9" fillId="0" borderId="5" xfId="0" applyNumberFormat="1" applyFont="1" applyBorder="1" applyAlignment="1" applyProtection="1">
      <alignment horizontal="left"/>
      <protection/>
    </xf>
    <xf numFmtId="172" fontId="17" fillId="0" borderId="1" xfId="0" applyNumberFormat="1" applyFont="1" applyBorder="1" applyAlignment="1" applyProtection="1">
      <alignment horizontal="left"/>
      <protection/>
    </xf>
    <xf numFmtId="172" fontId="9" fillId="0" borderId="0" xfId="0" applyNumberFormat="1" applyFont="1" applyAlignment="1" applyProtection="1">
      <alignment horizontal="left"/>
      <protection/>
    </xf>
    <xf numFmtId="172" fontId="17" fillId="0" borderId="8" xfId="0" applyFont="1" applyBorder="1" applyAlignment="1">
      <alignment/>
    </xf>
    <xf numFmtId="172" fontId="9" fillId="0" borderId="6" xfId="0" applyFont="1" applyBorder="1" applyAlignment="1">
      <alignment/>
    </xf>
    <xf numFmtId="172" fontId="9" fillId="0" borderId="7" xfId="0" applyFont="1" applyBorder="1" applyAlignment="1">
      <alignment/>
    </xf>
    <xf numFmtId="172" fontId="9" fillId="0" borderId="0" xfId="0" applyFont="1" applyAlignment="1">
      <alignment/>
    </xf>
    <xf numFmtId="173" fontId="9" fillId="0" borderId="0" xfId="0" applyNumberFormat="1" applyFont="1" applyAlignment="1" applyProtection="1">
      <alignment/>
      <protection/>
    </xf>
    <xf numFmtId="172" fontId="17" fillId="0" borderId="2" xfId="0" applyFont="1" applyBorder="1" applyAlignment="1">
      <alignment/>
    </xf>
    <xf numFmtId="172" fontId="9" fillId="0" borderId="3" xfId="0" applyFont="1" applyBorder="1" applyAlignment="1">
      <alignment/>
    </xf>
    <xf numFmtId="172" fontId="9" fillId="0" borderId="4" xfId="0" applyFont="1" applyBorder="1" applyAlignment="1">
      <alignment/>
    </xf>
    <xf numFmtId="172" fontId="17" fillId="0" borderId="0" xfId="0" applyFont="1" applyBorder="1" applyAlignment="1">
      <alignment/>
    </xf>
    <xf numFmtId="172" fontId="9" fillId="0" borderId="0" xfId="0" applyNumberFormat="1" applyFont="1" applyBorder="1" applyAlignment="1" applyProtection="1">
      <alignment horizontal="right"/>
      <protection/>
    </xf>
    <xf numFmtId="174" fontId="9" fillId="0" borderId="0" xfId="0" applyNumberFormat="1" applyFont="1" applyBorder="1" applyAlignment="1" applyProtection="1">
      <alignment/>
      <protection/>
    </xf>
    <xf numFmtId="175" fontId="9" fillId="0" borderId="0" xfId="0" applyNumberFormat="1" applyFont="1" applyBorder="1" applyAlignment="1" applyProtection="1">
      <alignment/>
      <protection locked="0"/>
    </xf>
    <xf numFmtId="175" fontId="9" fillId="0" borderId="5" xfId="0" applyNumberFormat="1" applyFont="1" applyBorder="1" applyAlignment="1" applyProtection="1">
      <alignment/>
      <protection locked="0"/>
    </xf>
    <xf numFmtId="172" fontId="9" fillId="2" borderId="0" xfId="0" applyNumberFormat="1" applyFont="1" applyFill="1" applyBorder="1" applyAlignment="1" applyProtection="1">
      <alignment horizontal="left"/>
      <protection/>
    </xf>
    <xf numFmtId="172" fontId="9" fillId="2" borderId="0" xfId="0" applyFont="1" applyFill="1" applyBorder="1" applyAlignment="1">
      <alignment/>
    </xf>
    <xf numFmtId="172" fontId="9" fillId="0" borderId="0" xfId="0" applyNumberFormat="1" applyFont="1" applyAlignment="1" applyProtection="1" quotePrefix="1">
      <alignment horizontal="right"/>
      <protection/>
    </xf>
    <xf numFmtId="172" fontId="17" fillId="0" borderId="8" xfId="0" applyNumberFormat="1" applyFont="1" applyBorder="1" applyAlignment="1" applyProtection="1" quotePrefix="1">
      <alignment horizontal="left"/>
      <protection/>
    </xf>
    <xf numFmtId="172" fontId="9" fillId="0" borderId="6" xfId="0" applyNumberFormat="1" applyFont="1" applyBorder="1" applyAlignment="1" applyProtection="1" quotePrefix="1">
      <alignment horizontal="left"/>
      <protection/>
    </xf>
    <xf numFmtId="177" fontId="9" fillId="0" borderId="0" xfId="0" applyNumberFormat="1" applyFont="1" applyAlignment="1" applyProtection="1">
      <alignment/>
      <protection locked="0"/>
    </xf>
    <xf numFmtId="172" fontId="9" fillId="0" borderId="3" xfId="0" applyNumberFormat="1" applyFont="1" applyBorder="1" applyAlignment="1" applyProtection="1">
      <alignment horizontal="left"/>
      <protection/>
    </xf>
    <xf numFmtId="172" fontId="9" fillId="0" borderId="3" xfId="0" applyNumberFormat="1" applyFont="1" applyBorder="1" applyAlignment="1" applyProtection="1" quotePrefix="1">
      <alignment horizontal="left"/>
      <protection/>
    </xf>
    <xf numFmtId="172" fontId="9" fillId="0" borderId="0" xfId="0" applyNumberFormat="1" applyFont="1" applyBorder="1" applyAlignment="1" applyProtection="1">
      <alignment/>
      <protection/>
    </xf>
    <xf numFmtId="175" fontId="9" fillId="0" borderId="0" xfId="0" applyNumberFormat="1" applyFont="1" applyBorder="1" applyAlignment="1" applyProtection="1">
      <alignment horizontal="right"/>
      <protection locked="0"/>
    </xf>
    <xf numFmtId="172" fontId="9" fillId="0" borderId="6" xfId="0" applyNumberFormat="1" applyFont="1" applyBorder="1" applyAlignment="1" applyProtection="1">
      <alignment/>
      <protection locked="0"/>
    </xf>
    <xf numFmtId="189" fontId="5" fillId="3" borderId="5" xfId="19" applyNumberFormat="1" applyFont="1" applyFill="1" applyBorder="1" applyAlignment="1" applyProtection="1">
      <alignment/>
      <protection locked="0"/>
    </xf>
    <xf numFmtId="189" fontId="12" fillId="3" borderId="5" xfId="19" applyNumberFormat="1" applyFont="1" applyFill="1" applyBorder="1" applyAlignment="1" applyProtection="1">
      <alignment/>
      <protection locked="0"/>
    </xf>
    <xf numFmtId="172" fontId="17" fillId="0" borderId="0" xfId="0" applyNumberFormat="1" applyFont="1" applyBorder="1" applyAlignment="1" applyProtection="1" quotePrefix="1">
      <alignment horizontal="left"/>
      <protection/>
    </xf>
    <xf numFmtId="172" fontId="12" fillId="0" borderId="0" xfId="0" applyNumberFormat="1" applyFont="1" applyBorder="1" applyAlignment="1" applyProtection="1" quotePrefix="1">
      <alignment horizontal="left"/>
      <protection/>
    </xf>
    <xf numFmtId="172" fontId="9" fillId="0" borderId="1" xfId="0" applyFont="1" applyBorder="1" applyAlignment="1">
      <alignment/>
    </xf>
    <xf numFmtId="172" fontId="9" fillId="0" borderId="1" xfId="0" applyNumberFormat="1" applyFont="1" applyBorder="1" applyAlignment="1" applyProtection="1">
      <alignment horizontal="left"/>
      <protection/>
    </xf>
    <xf numFmtId="172" fontId="9" fillId="0" borderId="8" xfId="0" applyFont="1" applyBorder="1" applyAlignment="1">
      <alignment/>
    </xf>
    <xf numFmtId="172" fontId="18" fillId="0" borderId="0" xfId="0" applyNumberFormat="1" applyFont="1" applyBorder="1" applyAlignment="1" applyProtection="1">
      <alignment horizontal="left"/>
      <protection/>
    </xf>
    <xf numFmtId="173" fontId="18" fillId="0" borderId="0" xfId="0" applyNumberFormat="1" applyFont="1" applyBorder="1" applyAlignment="1" applyProtection="1">
      <alignment horizontal="left"/>
      <protection/>
    </xf>
    <xf numFmtId="172" fontId="4" fillId="2" borderId="1" xfId="0" applyNumberFormat="1" applyFont="1" applyFill="1" applyBorder="1" applyAlignment="1" applyProtection="1" quotePrefix="1">
      <alignment horizontal="left"/>
      <protection/>
    </xf>
    <xf numFmtId="172" fontId="4" fillId="2" borderId="5" xfId="0" applyNumberFormat="1" applyFont="1" applyFill="1" applyBorder="1" applyAlignment="1" applyProtection="1" quotePrefix="1">
      <alignment horizontal="left"/>
      <protection/>
    </xf>
    <xf numFmtId="172" fontId="9" fillId="2" borderId="0" xfId="0" applyNumberFormat="1" applyFont="1" applyFill="1" applyBorder="1" applyAlignment="1" applyProtection="1">
      <alignment/>
      <protection/>
    </xf>
    <xf numFmtId="172" fontId="0" fillId="2" borderId="0" xfId="0" applyFill="1" applyBorder="1" applyAlignment="1">
      <alignment/>
    </xf>
    <xf numFmtId="172" fontId="1" fillId="2" borderId="0" xfId="0" applyNumberFormat="1" applyFont="1" applyFill="1" applyBorder="1" applyAlignment="1" applyProtection="1">
      <alignment horizontal="left"/>
      <protection/>
    </xf>
    <xf numFmtId="172" fontId="1" fillId="2" borderId="0" xfId="0" applyFont="1" applyFill="1" applyBorder="1" applyAlignment="1">
      <alignment/>
    </xf>
    <xf numFmtId="172" fontId="1" fillId="2" borderId="0" xfId="0" applyNumberFormat="1" applyFont="1" applyFill="1" applyBorder="1" applyAlignment="1" applyProtection="1">
      <alignment horizontal="center"/>
      <protection/>
    </xf>
    <xf numFmtId="173" fontId="9" fillId="2" borderId="0" xfId="0" applyNumberFormat="1" applyFont="1" applyFill="1" applyBorder="1" applyAlignment="1" applyProtection="1">
      <alignment horizontal="left"/>
      <protection/>
    </xf>
    <xf numFmtId="173" fontId="9" fillId="2" borderId="0" xfId="0" applyNumberFormat="1" applyFont="1" applyFill="1" applyBorder="1" applyAlignment="1" applyProtection="1">
      <alignment/>
      <protection/>
    </xf>
    <xf numFmtId="171" fontId="9" fillId="2" borderId="0" xfId="19" applyFont="1" applyFill="1" applyBorder="1" applyAlignment="1" applyProtection="1">
      <alignment/>
      <protection/>
    </xf>
    <xf numFmtId="189" fontId="9" fillId="2" borderId="0" xfId="19" applyNumberFormat="1" applyFont="1" applyFill="1" applyBorder="1" applyAlignment="1" applyProtection="1">
      <alignment/>
      <protection/>
    </xf>
    <xf numFmtId="172" fontId="9" fillId="2" borderId="0" xfId="0" applyNumberFormat="1" applyFont="1" applyFill="1" applyBorder="1" applyAlignment="1" applyProtection="1">
      <alignment/>
      <protection locked="0"/>
    </xf>
    <xf numFmtId="172" fontId="4" fillId="3" borderId="0" xfId="0" applyNumberFormat="1" applyFont="1" applyFill="1" applyBorder="1" applyAlignment="1" applyProtection="1" quotePrefix="1">
      <alignment horizontal="left"/>
      <protection/>
    </xf>
    <xf numFmtId="172" fontId="9" fillId="0" borderId="2" xfId="0" applyNumberFormat="1" applyFont="1" applyBorder="1" applyAlignment="1" applyProtection="1">
      <alignment horizontal="left"/>
      <protection/>
    </xf>
    <xf numFmtId="172" fontId="9" fillId="0" borderId="4" xfId="0" applyNumberFormat="1" applyFont="1" applyBorder="1" applyAlignment="1" applyProtection="1">
      <alignment horizontal="left"/>
      <protection/>
    </xf>
    <xf numFmtId="172" fontId="9" fillId="0" borderId="5" xfId="0" applyNumberFormat="1" applyFont="1" applyBorder="1" applyAlignment="1" applyProtection="1">
      <alignment horizontal="center"/>
      <protection/>
    </xf>
    <xf numFmtId="172" fontId="9" fillId="0" borderId="5" xfId="0" applyNumberFormat="1" applyFont="1" applyBorder="1" applyAlignment="1" applyProtection="1">
      <alignment/>
      <protection locked="0"/>
    </xf>
    <xf numFmtId="180" fontId="9" fillId="0" borderId="5" xfId="0" applyNumberFormat="1" applyFont="1" applyBorder="1" applyAlignment="1" applyProtection="1">
      <alignment/>
      <protection/>
    </xf>
    <xf numFmtId="172" fontId="9" fillId="0" borderId="2" xfId="0" applyFont="1" applyBorder="1" applyAlignment="1">
      <alignment/>
    </xf>
    <xf numFmtId="172" fontId="9" fillId="0" borderId="5" xfId="0" applyNumberFormat="1" applyFont="1" applyBorder="1" applyAlignment="1" applyProtection="1">
      <alignment horizontal="left"/>
      <protection locked="0"/>
    </xf>
    <xf numFmtId="172" fontId="17" fillId="0" borderId="4" xfId="0" applyNumberFormat="1" applyFont="1" applyBorder="1" applyAlignment="1" applyProtection="1">
      <alignment horizontal="left"/>
      <protection/>
    </xf>
    <xf numFmtId="172" fontId="17" fillId="0" borderId="5" xfId="0" applyFont="1" applyBorder="1" applyAlignment="1">
      <alignment/>
    </xf>
    <xf numFmtId="172" fontId="17" fillId="0" borderId="0" xfId="0" applyNumberFormat="1" applyFont="1" applyBorder="1" applyAlignment="1" applyProtection="1">
      <alignment horizontal="left"/>
      <protection/>
    </xf>
    <xf numFmtId="172" fontId="9" fillId="0" borderId="5" xfId="0" applyFont="1" applyBorder="1" applyAlignment="1">
      <alignment horizontal="right"/>
    </xf>
    <xf numFmtId="172" fontId="12" fillId="0" borderId="0" xfId="0" applyNumberFormat="1" applyFont="1" applyBorder="1" applyAlignment="1" applyProtection="1">
      <alignment horizontal="left"/>
      <protection locked="0"/>
    </xf>
    <xf numFmtId="175" fontId="9" fillId="0" borderId="0" xfId="0" applyNumberFormat="1" applyFont="1" applyBorder="1" applyAlignment="1" applyProtection="1" quotePrefix="1">
      <alignment horizontal="right"/>
      <protection locked="0"/>
    </xf>
    <xf numFmtId="172" fontId="9" fillId="3" borderId="0" xfId="0" applyFont="1" applyFill="1" applyBorder="1" applyAlignment="1">
      <alignment/>
    </xf>
    <xf numFmtId="172" fontId="12" fillId="0" borderId="0" xfId="0" applyFont="1" applyBorder="1" applyAlignment="1">
      <alignment/>
    </xf>
    <xf numFmtId="172" fontId="20" fillId="0" borderId="0" xfId="0" applyFont="1" applyBorder="1" applyAlignment="1">
      <alignment/>
    </xf>
    <xf numFmtId="172" fontId="20" fillId="0" borderId="5" xfId="0" applyFont="1" applyBorder="1" applyAlignment="1">
      <alignment/>
    </xf>
    <xf numFmtId="172" fontId="12" fillId="2" borderId="10" xfId="0" applyFont="1" applyFill="1" applyBorder="1" applyAlignment="1">
      <alignment horizontal="center"/>
    </xf>
    <xf numFmtId="172" fontId="12" fillId="2" borderId="11" xfId="0" applyFont="1" applyFill="1" applyBorder="1" applyAlignment="1">
      <alignment/>
    </xf>
    <xf numFmtId="172" fontId="9" fillId="2" borderId="12" xfId="0" applyFont="1" applyFill="1" applyBorder="1" applyAlignment="1">
      <alignment/>
    </xf>
    <xf numFmtId="172" fontId="9" fillId="0" borderId="0" xfId="0" applyNumberFormat="1" applyFont="1" applyBorder="1" applyAlignment="1" applyProtection="1">
      <alignment horizontal="right"/>
      <protection locked="0"/>
    </xf>
    <xf numFmtId="172" fontId="9" fillId="2" borderId="2" xfId="0" applyNumberFormat="1" applyFont="1" applyFill="1" applyBorder="1" applyAlignment="1" applyProtection="1">
      <alignment horizontal="left"/>
      <protection/>
    </xf>
    <xf numFmtId="172" fontId="9" fillId="2" borderId="3" xfId="0" applyNumberFormat="1" applyFont="1" applyFill="1" applyBorder="1" applyAlignment="1" applyProtection="1">
      <alignment/>
      <protection/>
    </xf>
    <xf numFmtId="172" fontId="9" fillId="2" borderId="3" xfId="0" applyNumberFormat="1" applyFont="1" applyFill="1" applyBorder="1" applyAlignment="1" applyProtection="1">
      <alignment horizontal="left"/>
      <protection/>
    </xf>
    <xf numFmtId="173" fontId="9" fillId="2" borderId="3" xfId="0" applyNumberFormat="1" applyFont="1" applyFill="1" applyBorder="1" applyAlignment="1" applyProtection="1">
      <alignment horizontal="left"/>
      <protection/>
    </xf>
    <xf numFmtId="173" fontId="9" fillId="2" borderId="3" xfId="0" applyNumberFormat="1" applyFont="1" applyFill="1" applyBorder="1" applyAlignment="1" applyProtection="1">
      <alignment/>
      <protection/>
    </xf>
    <xf numFmtId="172" fontId="9" fillId="2" borderId="1" xfId="0" applyFont="1" applyFill="1" applyBorder="1" applyAlignment="1">
      <alignment/>
    </xf>
    <xf numFmtId="172" fontId="9" fillId="2" borderId="8" xfId="0" applyFont="1" applyFill="1" applyBorder="1" applyAlignment="1">
      <alignment/>
    </xf>
    <xf numFmtId="172" fontId="9" fillId="2" borderId="6" xfId="0" applyFont="1" applyFill="1" applyBorder="1" applyAlignment="1">
      <alignment/>
    </xf>
    <xf numFmtId="172" fontId="9" fillId="2" borderId="6" xfId="0" applyNumberFormat="1" applyFont="1" applyFill="1" applyBorder="1" applyAlignment="1" applyProtection="1">
      <alignment horizontal="left"/>
      <protection locked="0"/>
    </xf>
    <xf numFmtId="172" fontId="9" fillId="2" borderId="6" xfId="0" applyNumberFormat="1" applyFont="1" applyFill="1" applyBorder="1" applyAlignment="1" applyProtection="1">
      <alignment/>
      <protection locked="0"/>
    </xf>
    <xf numFmtId="189" fontId="9" fillId="2" borderId="6" xfId="19" applyNumberFormat="1" applyFont="1" applyFill="1" applyBorder="1" applyAlignment="1" applyProtection="1">
      <alignment/>
      <protection locked="0"/>
    </xf>
    <xf numFmtId="173" fontId="9" fillId="2" borderId="4" xfId="0" applyNumberFormat="1" applyFont="1" applyFill="1" applyBorder="1" applyAlignment="1" applyProtection="1">
      <alignment/>
      <protection/>
    </xf>
    <xf numFmtId="172" fontId="9" fillId="2" borderId="5" xfId="0" applyNumberFormat="1" applyFont="1" applyFill="1" applyBorder="1" applyAlignment="1" applyProtection="1">
      <alignment horizontal="center"/>
      <protection locked="0"/>
    </xf>
    <xf numFmtId="175" fontId="9" fillId="2" borderId="5" xfId="0" applyNumberFormat="1" applyFont="1" applyFill="1" applyBorder="1" applyAlignment="1" applyProtection="1">
      <alignment/>
      <protection/>
    </xf>
    <xf numFmtId="175" fontId="9" fillId="2" borderId="7" xfId="0" applyNumberFormat="1" applyFont="1" applyFill="1" applyBorder="1" applyAlignment="1" applyProtection="1">
      <alignment/>
      <protection locked="0"/>
    </xf>
    <xf numFmtId="171" fontId="9" fillId="2" borderId="3" xfId="19" applyFont="1" applyFill="1" applyBorder="1" applyAlignment="1" applyProtection="1">
      <alignment/>
      <protection/>
    </xf>
    <xf numFmtId="175" fontId="12" fillId="2" borderId="10" xfId="0" applyNumberFormat="1" applyFont="1" applyFill="1" applyBorder="1" applyAlignment="1" applyProtection="1">
      <alignment/>
      <protection locked="0"/>
    </xf>
    <xf numFmtId="189" fontId="12" fillId="2" borderId="10" xfId="19" applyNumberFormat="1" applyFont="1" applyFill="1" applyBorder="1" applyAlignment="1" applyProtection="1">
      <alignment/>
      <protection locked="0"/>
    </xf>
    <xf numFmtId="172" fontId="23" fillId="3" borderId="0" xfId="0" applyNumberFormat="1" applyFont="1" applyFill="1" applyBorder="1" applyAlignment="1" applyProtection="1">
      <alignment horizontal="left"/>
      <protection/>
    </xf>
    <xf numFmtId="172" fontId="23" fillId="3" borderId="0" xfId="0" applyFont="1" applyFill="1" applyBorder="1" applyAlignment="1">
      <alignment/>
    </xf>
    <xf numFmtId="172" fontId="9" fillId="2" borderId="13" xfId="0" applyFont="1" applyFill="1" applyBorder="1" applyAlignment="1">
      <alignment/>
    </xf>
    <xf numFmtId="172" fontId="4" fillId="2" borderId="10" xfId="0" applyNumberFormat="1" applyFont="1" applyFill="1" applyBorder="1" applyAlignment="1" applyProtection="1">
      <alignment/>
      <protection/>
    </xf>
    <xf numFmtId="14" fontId="4" fillId="0" borderId="14" xfId="0" applyNumberFormat="1" applyFont="1" applyBorder="1" applyAlignment="1" applyProtection="1">
      <alignment/>
      <protection/>
    </xf>
    <xf numFmtId="172" fontId="9" fillId="2" borderId="10" xfId="0" applyNumberFormat="1" applyFont="1" applyFill="1" applyBorder="1" applyAlignment="1" applyProtection="1">
      <alignment/>
      <protection locked="0"/>
    </xf>
    <xf numFmtId="172" fontId="4" fillId="0" borderId="14" xfId="0" applyNumberFormat="1" applyFont="1" applyBorder="1" applyAlignment="1" applyProtection="1">
      <alignment horizontal="left"/>
      <protection/>
    </xf>
    <xf numFmtId="172" fontId="4" fillId="2" borderId="14" xfId="0" applyNumberFormat="1" applyFont="1" applyFill="1" applyBorder="1" applyAlignment="1" applyProtection="1">
      <alignment/>
      <protection/>
    </xf>
    <xf numFmtId="173" fontId="9" fillId="4" borderId="14" xfId="0" applyNumberFormat="1" applyFont="1" applyFill="1" applyBorder="1" applyAlignment="1" applyProtection="1">
      <alignment/>
      <protection locked="0"/>
    </xf>
    <xf numFmtId="172" fontId="9" fillId="4" borderId="14" xfId="0" applyNumberFormat="1" applyFont="1" applyFill="1" applyBorder="1" applyAlignment="1" applyProtection="1">
      <alignment/>
      <protection locked="0"/>
    </xf>
    <xf numFmtId="172" fontId="4" fillId="2" borderId="3" xfId="0" applyNumberFormat="1" applyFont="1" applyFill="1" applyBorder="1" applyAlignment="1" applyProtection="1">
      <alignment horizontal="left"/>
      <protection/>
    </xf>
    <xf numFmtId="172" fontId="4" fillId="2" borderId="8" xfId="0" applyNumberFormat="1" applyFont="1" applyFill="1" applyBorder="1" applyAlignment="1" applyProtection="1">
      <alignment horizontal="left"/>
      <protection/>
    </xf>
    <xf numFmtId="172" fontId="4" fillId="2" borderId="6" xfId="0" applyNumberFormat="1" applyFont="1" applyFill="1" applyBorder="1" applyAlignment="1" applyProtection="1">
      <alignment horizontal="left"/>
      <protection/>
    </xf>
    <xf numFmtId="172" fontId="5" fillId="4" borderId="14" xfId="0" applyNumberFormat="1" applyFont="1" applyFill="1" applyBorder="1" applyAlignment="1" applyProtection="1">
      <alignment/>
      <protection locked="0"/>
    </xf>
    <xf numFmtId="173" fontId="5" fillId="4" borderId="0" xfId="0" applyNumberFormat="1" applyFont="1" applyFill="1" applyBorder="1" applyAlignment="1" applyProtection="1">
      <alignment/>
      <protection locked="0"/>
    </xf>
    <xf numFmtId="173" fontId="5" fillId="4" borderId="14" xfId="0" applyNumberFormat="1" applyFont="1" applyFill="1" applyBorder="1" applyAlignment="1" applyProtection="1">
      <alignment/>
      <protection locked="0"/>
    </xf>
    <xf numFmtId="172" fontId="5" fillId="4" borderId="15" xfId="0" applyNumberFormat="1" applyFont="1" applyFill="1" applyBorder="1" applyAlignment="1" applyProtection="1">
      <alignment/>
      <protection locked="0"/>
    </xf>
    <xf numFmtId="172" fontId="4" fillId="0" borderId="10" xfId="0" applyFont="1" applyBorder="1" applyAlignment="1">
      <alignment/>
    </xf>
    <xf numFmtId="172" fontId="6" fillId="4" borderId="16" xfId="0" applyNumberFormat="1" applyFont="1" applyFill="1" applyBorder="1" applyAlignment="1" applyProtection="1">
      <alignment/>
      <protection locked="0"/>
    </xf>
    <xf numFmtId="172" fontId="6" fillId="4" borderId="17" xfId="0" applyNumberFormat="1" applyFont="1" applyFill="1" applyBorder="1" applyAlignment="1" applyProtection="1">
      <alignment/>
      <protection locked="0"/>
    </xf>
    <xf numFmtId="176" fontId="6" fillId="4" borderId="18" xfId="0" applyNumberFormat="1" applyFont="1" applyFill="1" applyBorder="1" applyAlignment="1" applyProtection="1">
      <alignment/>
      <protection locked="0"/>
    </xf>
    <xf numFmtId="173" fontId="5" fillId="4" borderId="15" xfId="0" applyNumberFormat="1" applyFont="1" applyFill="1" applyBorder="1" applyAlignment="1" applyProtection="1">
      <alignment/>
      <protection locked="0"/>
    </xf>
    <xf numFmtId="173" fontId="5" fillId="4" borderId="19" xfId="0" applyNumberFormat="1" applyFont="1" applyFill="1" applyBorder="1" applyAlignment="1" applyProtection="1">
      <alignment/>
      <protection locked="0"/>
    </xf>
    <xf numFmtId="173" fontId="5" fillId="4" borderId="20" xfId="0" applyNumberFormat="1" applyFont="1" applyFill="1" applyBorder="1" applyAlignment="1" applyProtection="1">
      <alignment/>
      <protection locked="0"/>
    </xf>
    <xf numFmtId="172" fontId="9" fillId="4" borderId="14" xfId="0" applyFont="1" applyFill="1" applyBorder="1" applyAlignment="1">
      <alignment/>
    </xf>
    <xf numFmtId="174" fontId="4" fillId="2" borderId="10" xfId="0" applyNumberFormat="1" applyFont="1" applyFill="1" applyBorder="1" applyAlignment="1" applyProtection="1">
      <alignment/>
      <protection/>
    </xf>
    <xf numFmtId="178" fontId="5" fillId="4" borderId="15" xfId="0" applyNumberFormat="1" applyFont="1" applyFill="1" applyBorder="1" applyAlignment="1" applyProtection="1">
      <alignment/>
      <protection locked="0"/>
    </xf>
    <xf numFmtId="178" fontId="5" fillId="4" borderId="20" xfId="0" applyNumberFormat="1" applyFont="1" applyFill="1" applyBorder="1" applyAlignment="1" applyProtection="1">
      <alignment/>
      <protection locked="0"/>
    </xf>
    <xf numFmtId="172" fontId="5" fillId="2" borderId="21" xfId="0" applyNumberFormat="1" applyFont="1" applyFill="1" applyBorder="1" applyAlignment="1" applyProtection="1">
      <alignment horizontal="left"/>
      <protection locked="0"/>
    </xf>
    <xf numFmtId="172" fontId="4" fillId="2" borderId="22" xfId="0" applyNumberFormat="1" applyFont="1" applyFill="1" applyBorder="1" applyAlignment="1" applyProtection="1">
      <alignment/>
      <protection/>
    </xf>
    <xf numFmtId="172" fontId="4" fillId="2" borderId="23" xfId="0" applyNumberFormat="1" applyFont="1" applyFill="1" applyBorder="1" applyAlignment="1" applyProtection="1">
      <alignment horizontal="center"/>
      <protection/>
    </xf>
    <xf numFmtId="172" fontId="5" fillId="2" borderId="24" xfId="0" applyNumberFormat="1" applyFont="1" applyFill="1" applyBorder="1" applyAlignment="1" applyProtection="1">
      <alignment horizontal="left"/>
      <protection locked="0"/>
    </xf>
    <xf numFmtId="172" fontId="4" fillId="2" borderId="9" xfId="0" applyNumberFormat="1" applyFont="1" applyFill="1" applyBorder="1" applyAlignment="1" applyProtection="1">
      <alignment horizontal="center"/>
      <protection/>
    </xf>
    <xf numFmtId="172" fontId="5" fillId="2" borderId="25" xfId="0" applyNumberFormat="1" applyFont="1" applyFill="1" applyBorder="1" applyAlignment="1" applyProtection="1">
      <alignment horizontal="left"/>
      <protection locked="0"/>
    </xf>
    <xf numFmtId="172" fontId="4" fillId="2" borderId="26" xfId="0" applyNumberFormat="1" applyFont="1" applyFill="1" applyBorder="1" applyAlignment="1" applyProtection="1">
      <alignment/>
      <protection/>
    </xf>
    <xf numFmtId="172" fontId="4" fillId="2" borderId="27" xfId="0" applyNumberFormat="1" applyFont="1" applyFill="1" applyBorder="1" applyAlignment="1" applyProtection="1">
      <alignment horizontal="center"/>
      <protection/>
    </xf>
    <xf numFmtId="173" fontId="4" fillId="4" borderId="14" xfId="0" applyNumberFormat="1" applyFont="1" applyFill="1" applyBorder="1" applyAlignment="1" applyProtection="1">
      <alignment/>
      <protection/>
    </xf>
    <xf numFmtId="172" fontId="4" fillId="4" borderId="14" xfId="0" applyNumberFormat="1" applyFont="1" applyFill="1" applyBorder="1" applyAlignment="1" applyProtection="1">
      <alignment/>
      <protection/>
    </xf>
    <xf numFmtId="174" fontId="4" fillId="2" borderId="14" xfId="0" applyNumberFormat="1" applyFont="1" applyFill="1" applyBorder="1" applyAlignment="1" applyProtection="1">
      <alignment/>
      <protection/>
    </xf>
    <xf numFmtId="174" fontId="9" fillId="0" borderId="0" xfId="0" applyNumberFormat="1" applyFont="1" applyBorder="1" applyAlignment="1" applyProtection="1">
      <alignment/>
      <protection locked="0"/>
    </xf>
    <xf numFmtId="173" fontId="4" fillId="4" borderId="15" xfId="0" applyNumberFormat="1" applyFont="1" applyFill="1" applyBorder="1" applyAlignment="1" applyProtection="1">
      <alignment/>
      <protection/>
    </xf>
    <xf numFmtId="173" fontId="4" fillId="4" borderId="20" xfId="0" applyNumberFormat="1" applyFont="1" applyFill="1" applyBorder="1" applyAlignment="1" applyProtection="1">
      <alignment/>
      <protection/>
    </xf>
    <xf numFmtId="173" fontId="4" fillId="0" borderId="20" xfId="0" applyNumberFormat="1" applyFont="1" applyBorder="1" applyAlignment="1" applyProtection="1">
      <alignment/>
      <protection/>
    </xf>
    <xf numFmtId="174" fontId="4" fillId="2" borderId="28" xfId="0" applyNumberFormat="1" applyFont="1" applyFill="1" applyBorder="1" applyAlignment="1" applyProtection="1">
      <alignment/>
      <protection/>
    </xf>
    <xf numFmtId="173" fontId="4" fillId="2" borderId="14" xfId="0" applyNumberFormat="1" applyFont="1" applyFill="1" applyBorder="1" applyAlignment="1" applyProtection="1">
      <alignment/>
      <protection/>
    </xf>
    <xf numFmtId="172" fontId="9" fillId="2" borderId="22" xfId="0" applyNumberFormat="1" applyFont="1" applyFill="1" applyBorder="1" applyAlignment="1" applyProtection="1">
      <alignment/>
      <protection locked="0"/>
    </xf>
    <xf numFmtId="175" fontId="9" fillId="2" borderId="22" xfId="0" applyNumberFormat="1" applyFont="1" applyFill="1" applyBorder="1" applyAlignment="1" applyProtection="1">
      <alignment/>
      <protection locked="0"/>
    </xf>
    <xf numFmtId="175" fontId="9" fillId="2" borderId="23" xfId="0" applyNumberFormat="1" applyFont="1" applyFill="1" applyBorder="1" applyAlignment="1" applyProtection="1">
      <alignment/>
      <protection locked="0"/>
    </xf>
    <xf numFmtId="175" fontId="9" fillId="2" borderId="0" xfId="0" applyNumberFormat="1" applyFont="1" applyFill="1" applyBorder="1" applyAlignment="1" applyProtection="1">
      <alignment/>
      <protection locked="0"/>
    </xf>
    <xf numFmtId="175" fontId="9" fillId="2" borderId="9" xfId="0" applyNumberFormat="1" applyFont="1" applyFill="1" applyBorder="1" applyAlignment="1" applyProtection="1">
      <alignment/>
      <protection locked="0"/>
    </xf>
    <xf numFmtId="172" fontId="9" fillId="2" borderId="26" xfId="0" applyNumberFormat="1" applyFont="1" applyFill="1" applyBorder="1" applyAlignment="1" applyProtection="1">
      <alignment/>
      <protection locked="0"/>
    </xf>
    <xf numFmtId="172" fontId="9" fillId="2" borderId="26" xfId="0" applyNumberFormat="1" applyFont="1" applyFill="1" applyBorder="1" applyAlignment="1" applyProtection="1">
      <alignment horizontal="center"/>
      <protection locked="0"/>
    </xf>
    <xf numFmtId="175" fontId="9" fillId="2" borderId="26" xfId="0" applyNumberFormat="1" applyFont="1" applyFill="1" applyBorder="1" applyAlignment="1" applyProtection="1">
      <alignment/>
      <protection locked="0"/>
    </xf>
    <xf numFmtId="175" fontId="12" fillId="2" borderId="27" xfId="0" applyNumberFormat="1" applyFont="1" applyFill="1" applyBorder="1" applyAlignment="1" applyProtection="1">
      <alignment/>
      <protection locked="0"/>
    </xf>
    <xf numFmtId="172" fontId="5" fillId="2" borderId="29" xfId="0" applyNumberFormat="1" applyFont="1" applyFill="1" applyBorder="1" applyAlignment="1" applyProtection="1">
      <alignment horizontal="left"/>
      <protection locked="0"/>
    </xf>
    <xf numFmtId="172" fontId="4" fillId="2" borderId="30" xfId="0" applyFont="1" applyFill="1" applyBorder="1" applyAlignment="1">
      <alignment/>
    </xf>
    <xf numFmtId="172" fontId="4" fillId="2" borderId="31" xfId="0" applyFont="1" applyFill="1" applyBorder="1" applyAlignment="1">
      <alignment/>
    </xf>
    <xf numFmtId="175" fontId="5" fillId="2" borderId="14" xfId="0" applyNumberFormat="1" applyFont="1" applyFill="1" applyBorder="1" applyAlignment="1" applyProtection="1">
      <alignment/>
      <protection locked="0"/>
    </xf>
    <xf numFmtId="172" fontId="4" fillId="2" borderId="22" xfId="0" applyFont="1" applyFill="1" applyBorder="1" applyAlignment="1">
      <alignment/>
    </xf>
    <xf numFmtId="172" fontId="9" fillId="2" borderId="22" xfId="0" applyFont="1" applyFill="1" applyBorder="1" applyAlignment="1">
      <alignment/>
    </xf>
    <xf numFmtId="173" fontId="9" fillId="2" borderId="22" xfId="0" applyNumberFormat="1" applyFont="1" applyFill="1" applyBorder="1" applyAlignment="1" applyProtection="1">
      <alignment/>
      <protection/>
    </xf>
    <xf numFmtId="172" fontId="9" fillId="2" borderId="23" xfId="0" applyNumberFormat="1" applyFont="1" applyFill="1" applyBorder="1" applyAlignment="1" applyProtection="1">
      <alignment horizontal="right"/>
      <protection/>
    </xf>
    <xf numFmtId="172" fontId="9" fillId="2" borderId="24" xfId="0" applyFont="1" applyFill="1" applyBorder="1" applyAlignment="1">
      <alignment/>
    </xf>
    <xf numFmtId="189" fontId="9" fillId="2" borderId="9" xfId="19" applyNumberFormat="1" applyFont="1" applyFill="1" applyBorder="1" applyAlignment="1" applyProtection="1">
      <alignment/>
      <protection locked="0"/>
    </xf>
    <xf numFmtId="172" fontId="9" fillId="2" borderId="25" xfId="0" applyFont="1" applyFill="1" applyBorder="1" applyAlignment="1">
      <alignment/>
    </xf>
    <xf numFmtId="172" fontId="12" fillId="2" borderId="26" xfId="0" applyNumberFormat="1" applyFont="1" applyFill="1" applyBorder="1" applyAlignment="1" applyProtection="1">
      <alignment horizontal="center"/>
      <protection locked="0"/>
    </xf>
    <xf numFmtId="175" fontId="12" fillId="2" borderId="26" xfId="0" applyNumberFormat="1" applyFont="1" applyFill="1" applyBorder="1" applyAlignment="1" applyProtection="1">
      <alignment/>
      <protection locked="0"/>
    </xf>
    <xf numFmtId="173" fontId="9" fillId="2" borderId="22" xfId="0" applyNumberFormat="1" applyFont="1" applyFill="1" applyBorder="1" applyAlignment="1" applyProtection="1">
      <alignment horizontal="right"/>
      <protection/>
    </xf>
    <xf numFmtId="175" fontId="9" fillId="4" borderId="14" xfId="0" applyNumberFormat="1" applyFont="1" applyFill="1" applyBorder="1" applyAlignment="1" applyProtection="1">
      <alignment/>
      <protection locked="0"/>
    </xf>
    <xf numFmtId="172" fontId="9" fillId="4" borderId="0" xfId="0" applyFont="1" applyFill="1" applyBorder="1" applyAlignment="1">
      <alignment/>
    </xf>
    <xf numFmtId="181" fontId="9" fillId="4" borderId="14" xfId="0" applyNumberFormat="1" applyFont="1" applyFill="1" applyBorder="1" applyAlignment="1" applyProtection="1">
      <alignment/>
      <protection locked="0"/>
    </xf>
    <xf numFmtId="172" fontId="9" fillId="2" borderId="14" xfId="0" applyNumberFormat="1" applyFont="1" applyFill="1" applyBorder="1" applyAlignment="1" applyProtection="1">
      <alignment/>
      <protection locked="0"/>
    </xf>
    <xf numFmtId="172" fontId="9" fillId="2" borderId="2" xfId="0" applyNumberFormat="1" applyFont="1" applyFill="1" applyBorder="1" applyAlignment="1" applyProtection="1">
      <alignment horizontal="left"/>
      <protection locked="0"/>
    </xf>
    <xf numFmtId="172" fontId="9" fillId="2" borderId="3" xfId="0" applyNumberFormat="1" applyFont="1" applyFill="1" applyBorder="1" applyAlignment="1" applyProtection="1" quotePrefix="1">
      <alignment/>
      <protection locked="0"/>
    </xf>
    <xf numFmtId="172" fontId="9" fillId="2" borderId="1" xfId="0" applyNumberFormat="1" applyFont="1" applyFill="1" applyBorder="1" applyAlignment="1" applyProtection="1">
      <alignment/>
      <protection locked="0"/>
    </xf>
    <xf numFmtId="189" fontId="9" fillId="2" borderId="5" xfId="19" applyNumberFormat="1" applyFont="1" applyFill="1" applyBorder="1" applyAlignment="1" applyProtection="1">
      <alignment/>
      <protection locked="0"/>
    </xf>
    <xf numFmtId="172" fontId="9" fillId="2" borderId="1" xfId="0" applyNumberFormat="1" applyFont="1" applyFill="1" applyBorder="1" applyAlignment="1" applyProtection="1">
      <alignment horizontal="left"/>
      <protection locked="0"/>
    </xf>
    <xf numFmtId="172" fontId="9" fillId="2" borderId="8" xfId="0" applyNumberFormat="1" applyFont="1" applyFill="1" applyBorder="1" applyAlignment="1" applyProtection="1">
      <alignment horizontal="left"/>
      <protection locked="0"/>
    </xf>
    <xf numFmtId="189" fontId="12" fillId="4" borderId="14" xfId="19" applyNumberFormat="1" applyFont="1" applyFill="1" applyBorder="1" applyAlignment="1" applyProtection="1">
      <alignment/>
      <protection locked="0"/>
    </xf>
    <xf numFmtId="181" fontId="9" fillId="2" borderId="14" xfId="0" applyNumberFormat="1" applyFont="1" applyFill="1" applyBorder="1" applyAlignment="1" applyProtection="1">
      <alignment/>
      <protection locked="0"/>
    </xf>
    <xf numFmtId="175" fontId="9" fillId="2" borderId="14" xfId="0" applyNumberFormat="1" applyFont="1" applyFill="1" applyBorder="1" applyAlignment="1" applyProtection="1">
      <alignment/>
      <protection locked="0"/>
    </xf>
    <xf numFmtId="189" fontId="12" fillId="2" borderId="14" xfId="19" applyNumberFormat="1" applyFont="1" applyFill="1" applyBorder="1" applyAlignment="1" applyProtection="1">
      <alignment/>
      <protection locked="0"/>
    </xf>
    <xf numFmtId="175" fontId="12" fillId="4" borderId="14" xfId="0" applyNumberFormat="1" applyFont="1" applyFill="1" applyBorder="1" applyAlignment="1" applyProtection="1">
      <alignment/>
      <protection locked="0"/>
    </xf>
    <xf numFmtId="189" fontId="12" fillId="4" borderId="14" xfId="19" applyNumberFormat="1" applyFont="1" applyFill="1" applyBorder="1" applyAlignment="1" applyProtection="1">
      <alignment/>
      <protection locked="0"/>
    </xf>
    <xf numFmtId="173" fontId="9" fillId="4" borderId="0" xfId="0" applyNumberFormat="1" applyFont="1" applyFill="1" applyBorder="1" applyAlignment="1" applyProtection="1">
      <alignment/>
      <protection/>
    </xf>
    <xf numFmtId="173" fontId="1" fillId="2" borderId="14" xfId="0" applyNumberFormat="1" applyFont="1" applyFill="1" applyBorder="1" applyAlignment="1" applyProtection="1">
      <alignment/>
      <protection/>
    </xf>
    <xf numFmtId="173" fontId="1" fillId="4" borderId="14" xfId="0" applyNumberFormat="1" applyFont="1" applyFill="1" applyBorder="1" applyAlignment="1" applyProtection="1">
      <alignment/>
      <protection/>
    </xf>
    <xf numFmtId="172" fontId="9" fillId="0" borderId="5" xfId="0" applyNumberFormat="1" applyFont="1" applyBorder="1" applyAlignment="1" applyProtection="1">
      <alignment horizontal="center"/>
      <protection locked="0"/>
    </xf>
    <xf numFmtId="172" fontId="9" fillId="0" borderId="5" xfId="0" applyNumberFormat="1" applyFont="1" applyBorder="1" applyAlignment="1" applyProtection="1" quotePrefix="1">
      <alignment horizontal="center"/>
      <protection locked="0"/>
    </xf>
    <xf numFmtId="172" fontId="12" fillId="0" borderId="11" xfId="0" applyNumberFormat="1" applyFont="1" applyBorder="1" applyAlignment="1" applyProtection="1">
      <alignment horizontal="left"/>
      <protection locked="0"/>
    </xf>
    <xf numFmtId="172" fontId="12" fillId="0" borderId="13" xfId="0" applyFont="1" applyBorder="1" applyAlignment="1">
      <alignment/>
    </xf>
    <xf numFmtId="172" fontId="12" fillId="0" borderId="12" xfId="0" applyFont="1" applyBorder="1" applyAlignment="1">
      <alignment/>
    </xf>
    <xf numFmtId="172" fontId="4" fillId="3" borderId="29" xfId="0" applyNumberFormat="1" applyFont="1" applyFill="1" applyBorder="1" applyAlignment="1" applyProtection="1">
      <alignment horizontal="left"/>
      <protection/>
    </xf>
    <xf numFmtId="172" fontId="4" fillId="3" borderId="30" xfId="0" applyFont="1" applyFill="1" applyBorder="1" applyAlignment="1">
      <alignment/>
    </xf>
    <xf numFmtId="172" fontId="4" fillId="3" borderId="31" xfId="0" applyFont="1" applyFill="1" applyBorder="1" applyAlignment="1">
      <alignment/>
    </xf>
    <xf numFmtId="172" fontId="4" fillId="0" borderId="22" xfId="0" applyNumberFormat="1" applyFont="1" applyBorder="1" applyAlignment="1" applyProtection="1">
      <alignment horizontal="left"/>
      <protection/>
    </xf>
    <xf numFmtId="172" fontId="4" fillId="0" borderId="32" xfId="0" applyNumberFormat="1" applyFont="1" applyBorder="1" applyAlignment="1" applyProtection="1" quotePrefix="1">
      <alignment horizontal="left"/>
      <protection/>
    </xf>
    <xf numFmtId="172" fontId="4" fillId="2" borderId="26" xfId="0" applyFont="1" applyFill="1" applyBorder="1" applyAlignment="1">
      <alignment/>
    </xf>
    <xf numFmtId="172" fontId="4" fillId="2" borderId="26" xfId="0" applyNumberFormat="1" applyFont="1" applyFill="1" applyBorder="1" applyAlignment="1" applyProtection="1">
      <alignment horizontal="center"/>
      <protection/>
    </xf>
    <xf numFmtId="172" fontId="4" fillId="2" borderId="26" xfId="0" applyNumberFormat="1" applyFont="1" applyFill="1" applyBorder="1" applyAlignment="1" applyProtection="1">
      <alignment horizontal="left"/>
      <protection/>
    </xf>
    <xf numFmtId="172" fontId="4" fillId="2" borderId="33" xfId="0" applyNumberFormat="1" applyFont="1" applyFill="1" applyBorder="1" applyAlignment="1" applyProtection="1" quotePrefix="1">
      <alignment horizontal="left"/>
      <protection/>
    </xf>
    <xf numFmtId="172" fontId="4" fillId="2" borderId="9" xfId="0" applyFont="1" applyFill="1" applyBorder="1" applyAlignment="1">
      <alignment/>
    </xf>
    <xf numFmtId="172" fontId="9" fillId="2" borderId="9" xfId="0" applyNumberFormat="1" applyFont="1" applyFill="1" applyBorder="1" applyAlignment="1" applyProtection="1">
      <alignment horizontal="left"/>
      <protection/>
    </xf>
    <xf numFmtId="172" fontId="4" fillId="2" borderId="34" xfId="0" applyNumberFormat="1" applyFont="1" applyFill="1" applyBorder="1" applyAlignment="1" applyProtection="1" quotePrefix="1">
      <alignment horizontal="left"/>
      <protection/>
    </xf>
    <xf numFmtId="172" fontId="4" fillId="2" borderId="35" xfId="0" applyNumberFormat="1" applyFont="1" applyFill="1" applyBorder="1" applyAlignment="1" applyProtection="1" quotePrefix="1">
      <alignment horizontal="left"/>
      <protection/>
    </xf>
    <xf numFmtId="172" fontId="4" fillId="0" borderId="32" xfId="0" applyFont="1" applyBorder="1" applyAlignment="1">
      <alignment/>
    </xf>
    <xf numFmtId="173" fontId="4" fillId="5" borderId="0" xfId="0" applyNumberFormat="1" applyFont="1" applyFill="1" applyBorder="1" applyAlignment="1" applyProtection="1">
      <alignment/>
      <protection/>
    </xf>
    <xf numFmtId="172" fontId="4" fillId="5" borderId="0" xfId="0" applyFont="1" applyFill="1" applyBorder="1" applyAlignment="1">
      <alignment/>
    </xf>
    <xf numFmtId="172" fontId="4" fillId="2" borderId="19" xfId="0" applyNumberFormat="1" applyFont="1" applyFill="1" applyBorder="1" applyAlignment="1" applyProtection="1">
      <alignment/>
      <protection/>
    </xf>
    <xf numFmtId="172" fontId="4" fillId="2" borderId="20" xfId="0" applyNumberFormat="1" applyFont="1" applyFill="1" applyBorder="1" applyAlignment="1" applyProtection="1">
      <alignment/>
      <protection/>
    </xf>
    <xf numFmtId="172" fontId="9" fillId="3" borderId="14" xfId="0" applyNumberFormat="1" applyFont="1" applyFill="1" applyBorder="1" applyAlignment="1" applyProtection="1">
      <alignment/>
      <protection/>
    </xf>
    <xf numFmtId="172" fontId="4" fillId="3" borderId="15" xfId="0" applyNumberFormat="1" applyFont="1" applyFill="1" applyBorder="1" applyAlignment="1" applyProtection="1">
      <alignment/>
      <protection/>
    </xf>
    <xf numFmtId="172" fontId="4" fillId="3" borderId="19" xfId="0" applyNumberFormat="1" applyFont="1" applyFill="1" applyBorder="1" applyAlignment="1" applyProtection="1">
      <alignment/>
      <protection/>
    </xf>
    <xf numFmtId="172" fontId="4" fillId="0" borderId="15" xfId="0" applyNumberFormat="1" applyFont="1" applyBorder="1" applyAlignment="1" applyProtection="1">
      <alignment/>
      <protection/>
    </xf>
    <xf numFmtId="172" fontId="4" fillId="0" borderId="19" xfId="0" applyNumberFormat="1" applyFont="1" applyBorder="1" applyAlignment="1" applyProtection="1">
      <alignment/>
      <protection/>
    </xf>
    <xf numFmtId="172" fontId="4" fillId="0" borderId="19" xfId="0" applyFont="1" applyBorder="1" applyAlignment="1">
      <alignment/>
    </xf>
    <xf numFmtId="172" fontId="4" fillId="0" borderId="20" xfId="0" applyFont="1" applyBorder="1" applyAlignment="1">
      <alignment/>
    </xf>
    <xf numFmtId="172" fontId="4" fillId="0" borderId="20" xfId="0" applyNumberFormat="1" applyFont="1" applyBorder="1" applyAlignment="1" applyProtection="1">
      <alignment/>
      <protection/>
    </xf>
    <xf numFmtId="9" fontId="4" fillId="0" borderId="15" xfId="17" applyFont="1" applyBorder="1" applyAlignment="1" applyProtection="1">
      <alignment/>
      <protection/>
    </xf>
    <xf numFmtId="9" fontId="4" fillId="0" borderId="19" xfId="17" applyFont="1" applyBorder="1" applyAlignment="1" applyProtection="1">
      <alignment/>
      <protection/>
    </xf>
    <xf numFmtId="9" fontId="4" fillId="0" borderId="20" xfId="17" applyFont="1" applyBorder="1" applyAlignment="1" applyProtection="1">
      <alignment/>
      <protection/>
    </xf>
    <xf numFmtId="172" fontId="4" fillId="0" borderId="15" xfId="0" applyFont="1" applyBorder="1" applyAlignment="1">
      <alignment/>
    </xf>
    <xf numFmtId="173" fontId="4" fillId="3" borderId="0" xfId="0" applyNumberFormat="1" applyFont="1" applyFill="1" applyBorder="1" applyAlignment="1" applyProtection="1">
      <alignment horizontal="left"/>
      <protection/>
    </xf>
    <xf numFmtId="189" fontId="4" fillId="2" borderId="12" xfId="19" applyNumberFormat="1" applyFont="1" applyFill="1" applyBorder="1" applyAlignment="1" applyProtection="1">
      <alignment/>
      <protection/>
    </xf>
    <xf numFmtId="189" fontId="4" fillId="2" borderId="10" xfId="19" applyNumberFormat="1" applyFont="1" applyFill="1" applyBorder="1" applyAlignment="1" applyProtection="1">
      <alignment/>
      <protection/>
    </xf>
    <xf numFmtId="173" fontId="4" fillId="4" borderId="10" xfId="0" applyNumberFormat="1" applyFont="1" applyFill="1" applyBorder="1" applyAlignment="1" applyProtection="1">
      <alignment/>
      <protection/>
    </xf>
    <xf numFmtId="172" fontId="4" fillId="2" borderId="29" xfId="0" applyNumberFormat="1" applyFont="1" applyFill="1" applyBorder="1" applyAlignment="1" applyProtection="1">
      <alignment horizontal="left"/>
      <protection/>
    </xf>
    <xf numFmtId="189" fontId="4" fillId="3" borderId="0" xfId="19" applyNumberFormat="1" applyFont="1" applyFill="1" applyBorder="1" applyAlignment="1" applyProtection="1">
      <alignment/>
      <protection/>
    </xf>
    <xf numFmtId="172" fontId="4" fillId="4" borderId="2" xfId="0" applyNumberFormat="1" applyFont="1" applyFill="1" applyBorder="1" applyAlignment="1" applyProtection="1">
      <alignment horizontal="left"/>
      <protection/>
    </xf>
    <xf numFmtId="172" fontId="4" fillId="4" borderId="3" xfId="0" applyFont="1" applyFill="1" applyBorder="1" applyAlignment="1">
      <alignment/>
    </xf>
    <xf numFmtId="172" fontId="15" fillId="4" borderId="3" xfId="0" applyFont="1" applyFill="1" applyBorder="1" applyAlignment="1">
      <alignment/>
    </xf>
    <xf numFmtId="173" fontId="16" fillId="4" borderId="3" xfId="0" applyNumberFormat="1" applyFont="1" applyFill="1" applyBorder="1" applyAlignment="1" applyProtection="1">
      <alignment/>
      <protection/>
    </xf>
    <xf numFmtId="176" fontId="16" fillId="4" borderId="3" xfId="0" applyNumberFormat="1" applyFont="1" applyFill="1" applyBorder="1" applyAlignment="1" applyProtection="1">
      <alignment/>
      <protection/>
    </xf>
    <xf numFmtId="172" fontId="16" fillId="4" borderId="3" xfId="0" applyNumberFormat="1" applyFont="1" applyFill="1" applyBorder="1" applyAlignment="1" applyProtection="1" quotePrefix="1">
      <alignment horizontal="left"/>
      <protection/>
    </xf>
    <xf numFmtId="189" fontId="16" fillId="4" borderId="4" xfId="19" applyNumberFormat="1" applyFont="1" applyFill="1" applyBorder="1" applyAlignment="1" applyProtection="1">
      <alignment/>
      <protection/>
    </xf>
    <xf numFmtId="172" fontId="4" fillId="4" borderId="1" xfId="0" applyNumberFormat="1" applyFont="1" applyFill="1" applyBorder="1" applyAlignment="1" applyProtection="1">
      <alignment horizontal="left"/>
      <protection/>
    </xf>
    <xf numFmtId="172" fontId="4" fillId="4" borderId="0" xfId="0" applyFont="1" applyFill="1" applyBorder="1" applyAlignment="1">
      <alignment/>
    </xf>
    <xf numFmtId="172" fontId="15" fillId="4" borderId="0" xfId="0" applyFont="1" applyFill="1" applyBorder="1" applyAlignment="1">
      <alignment/>
    </xf>
    <xf numFmtId="173" fontId="16" fillId="4" borderId="0" xfId="0" applyNumberFormat="1" applyFont="1" applyFill="1" applyBorder="1" applyAlignment="1" applyProtection="1">
      <alignment/>
      <protection/>
    </xf>
    <xf numFmtId="176" fontId="16" fillId="4" borderId="0" xfId="0" applyNumberFormat="1" applyFont="1" applyFill="1" applyBorder="1" applyAlignment="1" applyProtection="1">
      <alignment/>
      <protection/>
    </xf>
    <xf numFmtId="172" fontId="16" fillId="4" borderId="0" xfId="0" applyNumberFormat="1" applyFont="1" applyFill="1" applyBorder="1" applyAlignment="1" applyProtection="1" quotePrefix="1">
      <alignment horizontal="left"/>
      <protection/>
    </xf>
    <xf numFmtId="189" fontId="16" fillId="4" borderId="5" xfId="19" applyNumberFormat="1" applyFont="1" applyFill="1" applyBorder="1" applyAlignment="1" applyProtection="1">
      <alignment/>
      <protection/>
    </xf>
    <xf numFmtId="172" fontId="4" fillId="4" borderId="1" xfId="0" applyFont="1" applyFill="1" applyBorder="1" applyAlignment="1">
      <alignment/>
    </xf>
    <xf numFmtId="172" fontId="4" fillId="4" borderId="8" xfId="0" applyFont="1" applyFill="1" applyBorder="1" applyAlignment="1">
      <alignment/>
    </xf>
    <xf numFmtId="172" fontId="4" fillId="4" borderId="6" xfId="0" applyFont="1" applyFill="1" applyBorder="1" applyAlignment="1">
      <alignment/>
    </xf>
    <xf numFmtId="172" fontId="15" fillId="4" borderId="6" xfId="0" applyFont="1" applyFill="1" applyBorder="1" applyAlignment="1">
      <alignment/>
    </xf>
    <xf numFmtId="173" fontId="16" fillId="4" borderId="6" xfId="0" applyNumberFormat="1" applyFont="1" applyFill="1" applyBorder="1" applyAlignment="1" applyProtection="1">
      <alignment/>
      <protection/>
    </xf>
    <xf numFmtId="172" fontId="16" fillId="4" borderId="6" xfId="0" applyFont="1" applyFill="1" applyBorder="1" applyAlignment="1">
      <alignment/>
    </xf>
    <xf numFmtId="172" fontId="16" fillId="4" borderId="6" xfId="0" applyNumberFormat="1" applyFont="1" applyFill="1" applyBorder="1" applyAlignment="1" applyProtection="1" quotePrefix="1">
      <alignment horizontal="left"/>
      <protection/>
    </xf>
    <xf numFmtId="189" fontId="16" fillId="4" borderId="7" xfId="19" applyNumberFormat="1" applyFont="1" applyFill="1" applyBorder="1" applyAlignment="1" applyProtection="1">
      <alignment/>
      <protection/>
    </xf>
    <xf numFmtId="172" fontId="12" fillId="3" borderId="22" xfId="0" applyNumberFormat="1" applyFont="1" applyFill="1" applyBorder="1" applyAlignment="1" applyProtection="1">
      <alignment/>
      <protection locked="0"/>
    </xf>
    <xf numFmtId="172" fontId="12" fillId="3" borderId="23" xfId="0" applyNumberFormat="1" applyFont="1" applyFill="1" applyBorder="1" applyAlignment="1" applyProtection="1">
      <alignment/>
      <protection locked="0"/>
    </xf>
    <xf numFmtId="172" fontId="12" fillId="3" borderId="26" xfId="0" applyNumberFormat="1" applyFont="1" applyFill="1" applyBorder="1" applyAlignment="1" applyProtection="1">
      <alignment/>
      <protection locked="0"/>
    </xf>
    <xf numFmtId="172" fontId="12" fillId="3" borderId="27" xfId="0" applyNumberFormat="1" applyFont="1" applyFill="1" applyBorder="1" applyAlignment="1" applyProtection="1">
      <alignment/>
      <protection locked="0"/>
    </xf>
    <xf numFmtId="172" fontId="12" fillId="3" borderId="30" xfId="0" applyNumberFormat="1" applyFont="1" applyFill="1" applyBorder="1" applyAlignment="1" applyProtection="1">
      <alignment/>
      <protection locked="0"/>
    </xf>
    <xf numFmtId="172" fontId="12" fillId="3" borderId="31" xfId="0" applyNumberFormat="1" applyFont="1" applyFill="1" applyBorder="1" applyAlignment="1" applyProtection="1">
      <alignment/>
      <protection locked="0"/>
    </xf>
    <xf numFmtId="189" fontId="4" fillId="2" borderId="14" xfId="19" applyNumberFormat="1" applyFont="1" applyFill="1" applyBorder="1" applyAlignment="1" applyProtection="1">
      <alignment/>
      <protection/>
    </xf>
    <xf numFmtId="173" fontId="6" fillId="4" borderId="21" xfId="0" applyNumberFormat="1" applyFont="1" applyFill="1" applyBorder="1" applyAlignment="1" applyProtection="1">
      <alignment/>
      <protection locked="0"/>
    </xf>
    <xf numFmtId="173" fontId="6" fillId="4" borderId="22" xfId="0" applyNumberFormat="1" applyFont="1" applyFill="1" applyBorder="1" applyAlignment="1" applyProtection="1">
      <alignment/>
      <protection locked="0"/>
    </xf>
    <xf numFmtId="178" fontId="6" fillId="4" borderId="23" xfId="0" applyNumberFormat="1" applyFont="1" applyFill="1" applyBorder="1" applyAlignment="1" applyProtection="1">
      <alignment/>
      <protection locked="0"/>
    </xf>
    <xf numFmtId="173" fontId="6" fillId="4" borderId="25" xfId="0" applyNumberFormat="1" applyFont="1" applyFill="1" applyBorder="1" applyAlignment="1" applyProtection="1">
      <alignment/>
      <protection locked="0"/>
    </xf>
    <xf numFmtId="173" fontId="6" fillId="4" borderId="26" xfId="0" applyNumberFormat="1" applyFont="1" applyFill="1" applyBorder="1" applyAlignment="1" applyProtection="1">
      <alignment/>
      <protection locked="0"/>
    </xf>
    <xf numFmtId="178" fontId="6" fillId="4" borderId="27" xfId="0" applyNumberFormat="1" applyFont="1" applyFill="1" applyBorder="1" applyAlignment="1" applyProtection="1">
      <alignment/>
      <protection locked="0"/>
    </xf>
    <xf numFmtId="189" fontId="4" fillId="2" borderId="14" xfId="19" applyNumberFormat="1" applyFont="1" applyFill="1" applyBorder="1" applyAlignment="1" applyProtection="1">
      <alignment horizontal="right"/>
      <protection/>
    </xf>
    <xf numFmtId="173" fontId="6" fillId="6" borderId="14" xfId="0" applyNumberFormat="1" applyFont="1" applyFill="1" applyBorder="1" applyAlignment="1" applyProtection="1">
      <alignment/>
      <protection locked="0"/>
    </xf>
    <xf numFmtId="175" fontId="6" fillId="6" borderId="14" xfId="0" applyNumberFormat="1" applyFont="1" applyFill="1" applyBorder="1" applyAlignment="1" applyProtection="1">
      <alignment/>
      <protection locked="0"/>
    </xf>
    <xf numFmtId="178" fontId="12" fillId="6" borderId="14" xfId="0" applyNumberFormat="1" applyFont="1" applyFill="1" applyBorder="1" applyAlignment="1" applyProtection="1">
      <alignment/>
      <protection locked="0"/>
    </xf>
    <xf numFmtId="172" fontId="23" fillId="0" borderId="0" xfId="0" applyFont="1" applyBorder="1" applyAlignment="1">
      <alignment/>
    </xf>
    <xf numFmtId="174" fontId="9" fillId="2" borderId="11" xfId="0" applyNumberFormat="1" applyFont="1" applyFill="1" applyBorder="1" applyAlignment="1" applyProtection="1">
      <alignment/>
      <protection/>
    </xf>
    <xf numFmtId="174" fontId="9" fillId="2" borderId="12" xfId="0" applyNumberFormat="1" applyFont="1" applyFill="1" applyBorder="1" applyAlignment="1" applyProtection="1">
      <alignment/>
      <protection/>
    </xf>
    <xf numFmtId="175" fontId="5" fillId="0" borderId="14" xfId="0" applyNumberFormat="1" applyFont="1" applyBorder="1" applyAlignment="1" applyProtection="1">
      <alignment/>
      <protection locked="0"/>
    </xf>
    <xf numFmtId="173" fontId="5" fillId="0" borderId="14" xfId="0" applyNumberFormat="1" applyFont="1" applyBorder="1" applyAlignment="1" applyProtection="1">
      <alignment/>
      <protection locked="0"/>
    </xf>
    <xf numFmtId="174" fontId="4" fillId="4" borderId="14" xfId="0" applyNumberFormat="1" applyFont="1" applyFill="1" applyBorder="1" applyAlignment="1" applyProtection="1">
      <alignment/>
      <protection/>
    </xf>
    <xf numFmtId="172" fontId="1" fillId="0" borderId="29" xfId="0" applyNumberFormat="1" applyFont="1" applyBorder="1" applyAlignment="1" applyProtection="1">
      <alignment horizontal="left"/>
      <protection/>
    </xf>
    <xf numFmtId="172" fontId="1" fillId="0" borderId="30" xfId="0" applyFont="1" applyBorder="1" applyAlignment="1">
      <alignment/>
    </xf>
    <xf numFmtId="172" fontId="1" fillId="0" borderId="31" xfId="0" applyFont="1" applyBorder="1" applyAlignment="1">
      <alignment/>
    </xf>
    <xf numFmtId="178" fontId="12" fillId="5" borderId="14" xfId="0" applyNumberFormat="1" applyFont="1" applyFill="1" applyBorder="1" applyAlignment="1" applyProtection="1">
      <alignment/>
      <protection locked="0"/>
    </xf>
    <xf numFmtId="172" fontId="6" fillId="3" borderId="0" xfId="0" applyNumberFormat="1" applyFont="1" applyFill="1" applyBorder="1" applyAlignment="1" applyProtection="1">
      <alignment horizontal="center"/>
      <protection locked="0"/>
    </xf>
    <xf numFmtId="172" fontId="5" fillId="3" borderId="0" xfId="0" applyNumberFormat="1" applyFont="1" applyFill="1" applyBorder="1" applyAlignment="1" applyProtection="1">
      <alignment/>
      <protection locked="0"/>
    </xf>
    <xf numFmtId="172" fontId="12" fillId="2" borderId="11" xfId="0" applyNumberFormat="1" applyFont="1" applyFill="1" applyBorder="1" applyAlignment="1" applyProtection="1">
      <alignment horizontal="left"/>
      <protection locked="0"/>
    </xf>
    <xf numFmtId="172" fontId="12" fillId="2" borderId="13" xfId="0" applyNumberFormat="1" applyFont="1" applyFill="1" applyBorder="1" applyAlignment="1" applyProtection="1">
      <alignment horizontal="left"/>
      <protection locked="0"/>
    </xf>
    <xf numFmtId="172" fontId="12" fillId="2" borderId="13" xfId="0" applyNumberFormat="1" applyFont="1" applyFill="1" applyBorder="1" applyAlignment="1" applyProtection="1">
      <alignment horizontal="center"/>
      <protection locked="0"/>
    </xf>
    <xf numFmtId="172" fontId="20" fillId="2" borderId="0" xfId="0" applyNumberFormat="1" applyFont="1" applyFill="1" applyBorder="1" applyAlignment="1" applyProtection="1">
      <alignment/>
      <protection locked="0"/>
    </xf>
    <xf numFmtId="1" fontId="20" fillId="3" borderId="14" xfId="0" applyNumberFormat="1" applyFont="1" applyFill="1" applyBorder="1" applyAlignment="1">
      <alignment/>
    </xf>
    <xf numFmtId="172" fontId="24" fillId="0" borderId="11" xfId="0" applyFont="1" applyBorder="1" applyAlignment="1">
      <alignment/>
    </xf>
    <xf numFmtId="172" fontId="24" fillId="0" borderId="13" xfId="0" applyFont="1" applyBorder="1" applyAlignment="1">
      <alignment/>
    </xf>
    <xf numFmtId="172" fontId="12" fillId="2" borderId="10" xfId="0" applyNumberFormat="1" applyFont="1" applyFill="1" applyBorder="1" applyAlignment="1" applyProtection="1">
      <alignment horizontal="center"/>
      <protection locked="0"/>
    </xf>
    <xf numFmtId="173" fontId="4" fillId="4" borderId="11" xfId="0" applyNumberFormat="1" applyFont="1" applyFill="1" applyBorder="1" applyAlignment="1" applyProtection="1">
      <alignment/>
      <protection/>
    </xf>
    <xf numFmtId="189" fontId="4" fillId="4" borderId="12" xfId="19" applyNumberFormat="1" applyFont="1" applyFill="1" applyBorder="1" applyAlignment="1" applyProtection="1">
      <alignment/>
      <protection/>
    </xf>
    <xf numFmtId="173" fontId="4" fillId="4" borderId="29" xfId="0" applyNumberFormat="1" applyFont="1" applyFill="1" applyBorder="1" applyAlignment="1" applyProtection="1">
      <alignment/>
      <protection/>
    </xf>
    <xf numFmtId="174" fontId="4" fillId="4" borderId="31" xfId="0" applyNumberFormat="1" applyFont="1" applyFill="1" applyBorder="1" applyAlignment="1" applyProtection="1">
      <alignment/>
      <protection/>
    </xf>
    <xf numFmtId="172" fontId="6" fillId="0" borderId="1" xfId="0" applyNumberFormat="1" applyFont="1" applyBorder="1" applyAlignment="1" applyProtection="1">
      <alignment horizontal="center"/>
      <protection locked="0"/>
    </xf>
    <xf numFmtId="175" fontId="12" fillId="4" borderId="10" xfId="0" applyNumberFormat="1" applyFont="1" applyFill="1" applyBorder="1" applyAlignment="1" applyProtection="1">
      <alignment/>
      <protection locked="0"/>
    </xf>
    <xf numFmtId="175" fontId="12" fillId="2" borderId="10" xfId="0" applyNumberFormat="1" applyFont="1" applyFill="1" applyBorder="1" applyAlignment="1" applyProtection="1">
      <alignment/>
      <protection locked="0"/>
    </xf>
    <xf numFmtId="175" fontId="12" fillId="2" borderId="14" xfId="0" applyNumberFormat="1" applyFont="1" applyFill="1" applyBorder="1" applyAlignment="1" applyProtection="1">
      <alignment/>
      <protection locked="0"/>
    </xf>
    <xf numFmtId="172" fontId="12" fillId="2" borderId="21" xfId="0" applyNumberFormat="1" applyFont="1" applyFill="1" applyBorder="1" applyAlignment="1" applyProtection="1">
      <alignment horizontal="left"/>
      <protection/>
    </xf>
    <xf numFmtId="172" fontId="12" fillId="2" borderId="21" xfId="0" applyNumberFormat="1" applyFont="1" applyFill="1" applyBorder="1" applyAlignment="1" applyProtection="1">
      <alignment horizontal="left"/>
      <protection locked="0"/>
    </xf>
    <xf numFmtId="172" fontId="12" fillId="2" borderId="23" xfId="0" applyNumberFormat="1" applyFont="1" applyFill="1" applyBorder="1" applyAlignment="1" applyProtection="1">
      <alignment/>
      <protection locked="0"/>
    </xf>
    <xf numFmtId="172" fontId="12" fillId="2" borderId="24" xfId="0" applyNumberFormat="1" applyFont="1" applyFill="1" applyBorder="1" applyAlignment="1" applyProtection="1">
      <alignment horizontal="left"/>
      <protection locked="0"/>
    </xf>
    <xf numFmtId="172" fontId="12" fillId="2" borderId="9" xfId="0" applyNumberFormat="1" applyFont="1" applyFill="1" applyBorder="1" applyAlignment="1" applyProtection="1">
      <alignment/>
      <protection locked="0"/>
    </xf>
    <xf numFmtId="172" fontId="12" fillId="2" borderId="25" xfId="0" applyNumberFormat="1" applyFont="1" applyFill="1" applyBorder="1" applyAlignment="1" applyProtection="1">
      <alignment horizontal="left"/>
      <protection locked="0"/>
    </xf>
    <xf numFmtId="172" fontId="12" fillId="2" borderId="27" xfId="0" applyNumberFormat="1" applyFont="1" applyFill="1" applyBorder="1" applyAlignment="1" applyProtection="1">
      <alignment/>
      <protection locked="0"/>
    </xf>
    <xf numFmtId="189" fontId="9" fillId="3" borderId="10" xfId="19" applyNumberFormat="1" applyFont="1" applyFill="1" applyBorder="1" applyAlignment="1" applyProtection="1">
      <alignment/>
      <protection locked="0"/>
    </xf>
    <xf numFmtId="189" fontId="9" fillId="3" borderId="10" xfId="19" applyNumberFormat="1" applyFont="1" applyFill="1" applyBorder="1" applyAlignment="1" applyProtection="1">
      <alignment horizontal="right"/>
      <protection locked="0"/>
    </xf>
    <xf numFmtId="172" fontId="9" fillId="0" borderId="11" xfId="0" applyNumberFormat="1" applyFont="1" applyBorder="1" applyAlignment="1" applyProtection="1">
      <alignment/>
      <protection locked="0"/>
    </xf>
    <xf numFmtId="172" fontId="9" fillId="0" borderId="12" xfId="0" applyFont="1" applyBorder="1" applyAlignment="1">
      <alignment/>
    </xf>
    <xf numFmtId="189" fontId="4" fillId="0" borderId="19" xfId="19" applyNumberFormat="1" applyFont="1" applyBorder="1" applyAlignment="1" applyProtection="1">
      <alignment/>
      <protection/>
    </xf>
    <xf numFmtId="172" fontId="12" fillId="2" borderId="0" xfId="0" applyNumberFormat="1" applyFont="1" applyFill="1" applyBorder="1" applyAlignment="1" applyProtection="1">
      <alignment horizontal="left"/>
      <protection/>
    </xf>
    <xf numFmtId="189" fontId="4" fillId="0" borderId="20" xfId="19" applyNumberFormat="1" applyFont="1" applyBorder="1" applyAlignment="1" applyProtection="1">
      <alignment/>
      <protection/>
    </xf>
    <xf numFmtId="9" fontId="9" fillId="0" borderId="14" xfId="0" applyNumberFormat="1" applyFont="1" applyBorder="1" applyAlignment="1" applyProtection="1">
      <alignment horizontal="center"/>
      <protection locked="0"/>
    </xf>
    <xf numFmtId="10" fontId="9" fillId="0" borderId="19" xfId="0" applyNumberFormat="1" applyFont="1" applyBorder="1" applyAlignment="1" applyProtection="1">
      <alignment horizontal="center"/>
      <protection locked="0"/>
    </xf>
    <xf numFmtId="10" fontId="9" fillId="0" borderId="19" xfId="0" applyNumberFormat="1" applyFont="1" applyBorder="1" applyAlignment="1" applyProtection="1">
      <alignment horizontal="center"/>
      <protection/>
    </xf>
    <xf numFmtId="10" fontId="9" fillId="0" borderId="20" xfId="0" applyNumberFormat="1" applyFont="1" applyBorder="1" applyAlignment="1" applyProtection="1">
      <alignment horizontal="center"/>
      <protection locked="0"/>
    </xf>
    <xf numFmtId="175" fontId="12" fillId="4" borderId="14" xfId="0" applyNumberFormat="1" applyFont="1" applyFill="1" applyBorder="1" applyAlignment="1" applyProtection="1">
      <alignment horizontal="center"/>
      <protection locked="0"/>
    </xf>
    <xf numFmtId="175" fontId="4" fillId="3" borderId="0" xfId="0" applyNumberFormat="1" applyFont="1" applyFill="1" applyBorder="1" applyAlignment="1" applyProtection="1">
      <alignment horizontal="center"/>
      <protection/>
    </xf>
    <xf numFmtId="175" fontId="1" fillId="3" borderId="0" xfId="0" applyNumberFormat="1" applyFont="1" applyFill="1" applyBorder="1" applyAlignment="1" applyProtection="1">
      <alignment horizontal="center"/>
      <protection/>
    </xf>
    <xf numFmtId="172" fontId="4" fillId="3" borderId="0" xfId="0" applyFont="1" applyFill="1" applyBorder="1" applyAlignment="1">
      <alignment horizontal="center"/>
    </xf>
    <xf numFmtId="175" fontId="12" fillId="3" borderId="0" xfId="0" applyNumberFormat="1" applyFont="1" applyFill="1" applyBorder="1" applyAlignment="1" applyProtection="1">
      <alignment horizontal="center"/>
      <protection locked="0"/>
    </xf>
    <xf numFmtId="172" fontId="5" fillId="3" borderId="0" xfId="0" applyNumberFormat="1" applyFont="1" applyFill="1" applyBorder="1" applyAlignment="1" applyProtection="1">
      <alignment horizontal="center"/>
      <protection locked="0"/>
    </xf>
    <xf numFmtId="175" fontId="12" fillId="3" borderId="0" xfId="0" applyNumberFormat="1" applyFont="1" applyFill="1" applyBorder="1" applyAlignment="1" applyProtection="1">
      <alignment horizontal="center"/>
      <protection locked="0"/>
    </xf>
    <xf numFmtId="189" fontId="9" fillId="4" borderId="14" xfId="19" applyNumberFormat="1" applyFont="1" applyFill="1" applyBorder="1" applyAlignment="1" applyProtection="1">
      <alignment/>
      <protection locked="0"/>
    </xf>
    <xf numFmtId="172" fontId="9" fillId="2" borderId="21" xfId="0" applyNumberFormat="1" applyFont="1" applyFill="1" applyBorder="1" applyAlignment="1" applyProtection="1">
      <alignment horizontal="left"/>
      <protection locked="0"/>
    </xf>
    <xf numFmtId="172" fontId="9" fillId="2" borderId="24" xfId="0" applyNumberFormat="1" applyFont="1" applyFill="1" applyBorder="1" applyAlignment="1" applyProtection="1">
      <alignment horizontal="left"/>
      <protection locked="0"/>
    </xf>
    <xf numFmtId="172" fontId="9" fillId="2" borderId="25" xfId="0" applyNumberFormat="1" applyFont="1" applyFill="1" applyBorder="1" applyAlignment="1" applyProtection="1">
      <alignment/>
      <protection locked="0"/>
    </xf>
    <xf numFmtId="172" fontId="9" fillId="2" borderId="23" xfId="0" applyNumberFormat="1" applyFont="1" applyFill="1" applyBorder="1" applyAlignment="1" applyProtection="1">
      <alignment/>
      <protection locked="0"/>
    </xf>
    <xf numFmtId="172" fontId="9" fillId="2" borderId="9" xfId="0" applyNumberFormat="1" applyFont="1" applyFill="1" applyBorder="1" applyAlignment="1" applyProtection="1">
      <alignment/>
      <protection locked="0"/>
    </xf>
    <xf numFmtId="172" fontId="9" fillId="2" borderId="27" xfId="0" applyNumberFormat="1" applyFont="1" applyFill="1" applyBorder="1" applyAlignment="1" applyProtection="1">
      <alignment/>
      <protection locked="0"/>
    </xf>
    <xf numFmtId="172" fontId="4" fillId="2" borderId="10" xfId="0" applyNumberFormat="1" applyFont="1" applyFill="1" applyBorder="1" applyAlignment="1" applyProtection="1" quotePrefix="1">
      <alignment horizontal="left"/>
      <protection/>
    </xf>
    <xf numFmtId="172" fontId="4" fillId="0" borderId="10" xfId="0" applyNumberFormat="1" applyFont="1" applyBorder="1" applyAlignment="1" applyProtection="1">
      <alignment horizontal="center"/>
      <protection/>
    </xf>
    <xf numFmtId="172" fontId="4" fillId="4" borderId="10" xfId="0" applyNumberFormat="1" applyFont="1" applyFill="1" applyBorder="1" applyAlignment="1" applyProtection="1">
      <alignment horizontal="right"/>
      <protection/>
    </xf>
    <xf numFmtId="172" fontId="12" fillId="3" borderId="34" xfId="0" applyNumberFormat="1" applyFont="1" applyFill="1" applyBorder="1" applyAlignment="1" applyProtection="1">
      <alignment horizontal="left"/>
      <protection locked="0"/>
    </xf>
    <xf numFmtId="172" fontId="12" fillId="3" borderId="35" xfId="0" applyNumberFormat="1" applyFont="1" applyFill="1" applyBorder="1" applyAlignment="1" applyProtection="1">
      <alignment horizontal="left"/>
      <protection locked="0"/>
    </xf>
    <xf numFmtId="172" fontId="12" fillId="3" borderId="36" xfId="0" applyNumberFormat="1" applyFont="1" applyFill="1" applyBorder="1" applyAlignment="1" applyProtection="1">
      <alignment horizontal="left"/>
      <protection locked="0"/>
    </xf>
    <xf numFmtId="172" fontId="9" fillId="0" borderId="12" xfId="0" applyFont="1" applyBorder="1" applyAlignment="1">
      <alignment/>
    </xf>
    <xf numFmtId="172" fontId="25" fillId="4" borderId="11" xfId="0" applyFont="1" applyFill="1" applyBorder="1" applyAlignment="1">
      <alignment/>
    </xf>
    <xf numFmtId="172" fontId="25" fillId="4" borderId="13" xfId="0" applyFont="1" applyFill="1" applyBorder="1" applyAlignment="1">
      <alignment/>
    </xf>
    <xf numFmtId="172" fontId="26" fillId="4" borderId="13" xfId="0" applyFont="1" applyFill="1" applyBorder="1" applyAlignment="1">
      <alignment/>
    </xf>
    <xf numFmtId="172" fontId="9" fillId="4" borderId="12" xfId="0" applyFont="1" applyFill="1" applyBorder="1" applyAlignment="1">
      <alignment/>
    </xf>
    <xf numFmtId="172" fontId="9" fillId="0" borderId="13" xfId="0" applyFont="1" applyBorder="1" applyAlignment="1">
      <alignment/>
    </xf>
    <xf numFmtId="172" fontId="19" fillId="0" borderId="0" xfId="0" applyFont="1" applyBorder="1" applyAlignment="1">
      <alignment/>
    </xf>
    <xf numFmtId="172" fontId="21" fillId="0" borderId="0" xfId="0" applyFont="1" applyBorder="1" applyAlignment="1">
      <alignment/>
    </xf>
    <xf numFmtId="172" fontId="22" fillId="0" borderId="0" xfId="0" applyFont="1" applyBorder="1" applyAlignment="1">
      <alignment/>
    </xf>
    <xf numFmtId="172" fontId="4" fillId="2" borderId="10" xfId="0" applyNumberFormat="1" applyFont="1" applyFill="1" applyBorder="1" applyAlignment="1" applyProtection="1">
      <alignment horizontal="center"/>
      <protection/>
    </xf>
    <xf numFmtId="175" fontId="9" fillId="2" borderId="0" xfId="0" applyNumberFormat="1" applyFont="1" applyFill="1" applyBorder="1" applyAlignment="1" applyProtection="1">
      <alignment horizontal="center"/>
      <protection locked="0"/>
    </xf>
    <xf numFmtId="175" fontId="9" fillId="3" borderId="10" xfId="0" applyNumberFormat="1" applyFont="1" applyFill="1" applyBorder="1" applyAlignment="1" applyProtection="1">
      <alignment horizontal="center"/>
      <protection locked="0"/>
    </xf>
    <xf numFmtId="189" fontId="12" fillId="4" borderId="37" xfId="19" applyNumberFormat="1" applyFont="1" applyFill="1" applyBorder="1" applyAlignment="1" applyProtection="1">
      <alignment horizontal="center"/>
      <protection locked="0"/>
    </xf>
    <xf numFmtId="172" fontId="12" fillId="4" borderId="2" xfId="0" applyFont="1" applyFill="1" applyBorder="1" applyAlignment="1">
      <alignment/>
    </xf>
    <xf numFmtId="172" fontId="12" fillId="4" borderId="3" xfId="0" applyFont="1" applyFill="1" applyBorder="1" applyAlignment="1">
      <alignment/>
    </xf>
    <xf numFmtId="172" fontId="12" fillId="4" borderId="4" xfId="0" applyFont="1" applyFill="1" applyBorder="1" applyAlignment="1">
      <alignment/>
    </xf>
    <xf numFmtId="172" fontId="12" fillId="4" borderId="1" xfId="0" applyFont="1" applyFill="1" applyBorder="1" applyAlignment="1">
      <alignment/>
    </xf>
    <xf numFmtId="172" fontId="12" fillId="4" borderId="0" xfId="0" applyFont="1" applyFill="1" applyBorder="1" applyAlignment="1">
      <alignment/>
    </xf>
    <xf numFmtId="172" fontId="12" fillId="4" borderId="5" xfId="0" applyFont="1" applyFill="1" applyBorder="1" applyAlignment="1">
      <alignment/>
    </xf>
    <xf numFmtId="172" fontId="12" fillId="4" borderId="8" xfId="0" applyFont="1" applyFill="1" applyBorder="1" applyAlignment="1">
      <alignment/>
    </xf>
    <xf numFmtId="172" fontId="19" fillId="4" borderId="6" xfId="0" applyFont="1" applyFill="1" applyBorder="1" applyAlignment="1">
      <alignment/>
    </xf>
    <xf numFmtId="172" fontId="12" fillId="4" borderId="7" xfId="0" applyFont="1" applyFill="1" applyBorder="1" applyAlignment="1">
      <alignment/>
    </xf>
    <xf numFmtId="172" fontId="1" fillId="0" borderId="0" xfId="0" applyFont="1" applyBorder="1" applyAlignment="1">
      <alignment/>
    </xf>
    <xf numFmtId="172" fontId="12" fillId="2" borderId="0" xfId="0" applyNumberFormat="1" applyFont="1" applyFill="1" applyBorder="1" applyAlignment="1" applyProtection="1">
      <alignment horizontal="left"/>
      <protection locked="0"/>
    </xf>
    <xf numFmtId="172" fontId="12" fillId="2" borderId="0" xfId="0" applyFont="1" applyFill="1" applyBorder="1" applyAlignment="1">
      <alignment horizontal="left"/>
    </xf>
    <xf numFmtId="172" fontId="19" fillId="2" borderId="0" xfId="0" applyFont="1" applyFill="1" applyAlignment="1">
      <alignment/>
    </xf>
    <xf numFmtId="172" fontId="12" fillId="2" borderId="0" xfId="0" applyNumberFormat="1" applyFont="1" applyFill="1" applyBorder="1" applyAlignment="1" applyProtection="1">
      <alignment/>
      <protection locked="0"/>
    </xf>
    <xf numFmtId="172" fontId="1" fillId="0" borderId="0" xfId="0" applyFont="1" applyAlignment="1">
      <alignment/>
    </xf>
    <xf numFmtId="189" fontId="12" fillId="2" borderId="0" xfId="19" applyNumberFormat="1" applyFont="1" applyFill="1" applyBorder="1" applyAlignment="1" applyProtection="1">
      <alignment/>
      <protection/>
    </xf>
    <xf numFmtId="171" fontId="12" fillId="2" borderId="0" xfId="19" applyFont="1" applyFill="1" applyBorder="1" applyAlignment="1" applyProtection="1">
      <alignment/>
      <protection/>
    </xf>
    <xf numFmtId="175" fontId="12" fillId="2" borderId="5" xfId="0" applyNumberFormat="1" applyFont="1" applyFill="1" applyBorder="1" applyAlignment="1" applyProtection="1">
      <alignment/>
      <protection/>
    </xf>
    <xf numFmtId="189" fontId="12" fillId="3" borderId="14" xfId="19" applyNumberFormat="1" applyFont="1" applyFill="1" applyBorder="1" applyAlignment="1">
      <alignment/>
    </xf>
    <xf numFmtId="189" fontId="12" fillId="3" borderId="14" xfId="19" applyNumberFormat="1" applyFont="1" applyFill="1" applyBorder="1" applyAlignment="1" applyProtection="1">
      <alignment/>
      <protection/>
    </xf>
    <xf numFmtId="189" fontId="12" fillId="3" borderId="10" xfId="19" applyNumberFormat="1" applyFont="1" applyFill="1" applyBorder="1" applyAlignment="1" applyProtection="1">
      <alignment horizontal="right"/>
      <protection locked="0"/>
    </xf>
    <xf numFmtId="189" fontId="12" fillId="2" borderId="0" xfId="19" applyNumberFormat="1" applyFont="1" applyFill="1" applyBorder="1" applyAlignment="1">
      <alignment/>
    </xf>
    <xf numFmtId="1" fontId="19" fillId="2" borderId="0" xfId="19" applyNumberFormat="1" applyFont="1" applyFill="1" applyAlignment="1">
      <alignment horizontal="center"/>
    </xf>
    <xf numFmtId="171" fontId="12" fillId="3" borderId="0" xfId="19" applyFont="1" applyFill="1" applyBorder="1" applyAlignment="1" applyProtection="1">
      <alignment/>
      <protection/>
    </xf>
    <xf numFmtId="189" fontId="12" fillId="4" borderId="10" xfId="19" applyNumberFormat="1" applyFont="1" applyFill="1" applyBorder="1" applyAlignment="1" applyProtection="1">
      <alignment/>
      <protection locked="0"/>
    </xf>
    <xf numFmtId="172" fontId="27" fillId="0" borderId="5" xfId="0" applyFont="1" applyBorder="1" applyAlignment="1">
      <alignment/>
    </xf>
    <xf numFmtId="172" fontId="27" fillId="0" borderId="0" xfId="0" applyFont="1" applyBorder="1" applyAlignment="1">
      <alignment horizontal="right"/>
    </xf>
    <xf numFmtId="172" fontId="27" fillId="0" borderId="0" xfId="0" applyFont="1" applyBorder="1" applyAlignment="1">
      <alignment/>
    </xf>
    <xf numFmtId="172" fontId="27" fillId="0" borderId="10" xfId="0" applyNumberFormat="1" applyFont="1" applyBorder="1" applyAlignment="1" applyProtection="1">
      <alignment horizontal="center"/>
      <protection/>
    </xf>
    <xf numFmtId="172" fontId="28" fillId="4" borderId="11" xfId="0" applyFont="1" applyFill="1" applyBorder="1" applyAlignment="1">
      <alignment/>
    </xf>
    <xf numFmtId="172" fontId="26" fillId="4" borderId="12" xfId="0" applyFont="1" applyFill="1" applyBorder="1" applyAlignment="1" quotePrefix="1">
      <alignment horizontal="center"/>
    </xf>
    <xf numFmtId="173" fontId="4" fillId="4" borderId="1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"/>
          <c:w val="0.985"/>
          <c:h val="0.91825"/>
        </c:manualLayout>
      </c:layout>
      <c:barChart>
        <c:barDir val="col"/>
        <c:grouping val="stacked"/>
        <c:varyColors val="0"/>
        <c:ser>
          <c:idx val="0"/>
          <c:order val="0"/>
          <c:tx>
            <c:v>Pessoal</c:v>
          </c:tx>
          <c:spPr>
            <a:pattFill prst="trellis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'CAI - Global'!$Z$176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val>
            <c:numRef>
              <c:f>'CAI - Global'!$Z$176:$Z$183</c:f>
              <c:numCache>
                <c:ptCount val="8"/>
              </c:numCache>
            </c:numRef>
          </c:val>
        </c:ser>
        <c:overlap val="100"/>
        <c:axId val="30882601"/>
        <c:axId val="9507954"/>
      </c:bar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9507954"/>
        <c:crosses val="autoZero"/>
        <c:auto val="0"/>
        <c:lblOffset val="100"/>
        <c:noMultiLvlLbl val="0"/>
      </c:catAx>
      <c:valAx>
        <c:axId val="9507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826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695950"/>
    <xdr:graphicFrame>
      <xdr:nvGraphicFramePr>
        <xdr:cNvPr id="1" name="Chart 1"/>
        <xdr:cNvGraphicFramePr/>
      </xdr:nvGraphicFramePr>
      <xdr:xfrm>
        <a:off x="0" y="0"/>
        <a:ext cx="128206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739"/>
  <sheetViews>
    <sheetView showGridLines="0" tabSelected="1" workbookViewId="0" topLeftCell="A1">
      <selection activeCell="L34" sqref="L34"/>
    </sheetView>
  </sheetViews>
  <sheetFormatPr defaultColWidth="9.625" defaultRowHeight="12.75"/>
  <cols>
    <col min="1" max="1" width="4.625" style="198" customWidth="1"/>
    <col min="2" max="2" width="0.37109375" style="198" customWidth="1"/>
    <col min="3" max="3" width="4.625" style="198" hidden="1" customWidth="1"/>
    <col min="4" max="4" width="11.125" style="198" customWidth="1"/>
    <col min="5" max="5" width="4.625" style="198" customWidth="1"/>
    <col min="6" max="6" width="4.75390625" style="198" customWidth="1"/>
    <col min="7" max="7" width="5.75390625" style="198" customWidth="1"/>
    <col min="8" max="8" width="4.625" style="198" customWidth="1"/>
    <col min="9" max="11" width="10.75390625" style="198" customWidth="1"/>
    <col min="12" max="12" width="12.00390625" style="198" customWidth="1"/>
    <col min="13" max="13" width="10.875" style="198" customWidth="1"/>
    <col min="14" max="14" width="5.375" style="198" customWidth="1"/>
    <col min="15" max="15" width="15.75390625" style="198" customWidth="1"/>
    <col min="16" max="16" width="4.625" style="198" hidden="1" customWidth="1"/>
    <col min="17" max="17" width="0.12890625" style="198" hidden="1" customWidth="1"/>
    <col min="18" max="18" width="4.625" style="198" customWidth="1"/>
    <col min="19" max="19" width="6.25390625" style="0" customWidth="1"/>
    <col min="20" max="20" width="7.125" style="0" customWidth="1"/>
    <col min="21" max="21" width="10.875" style="0" customWidth="1"/>
    <col min="22" max="22" width="9.50390625" style="0" customWidth="1"/>
    <col min="23" max="23" width="15.875" style="0" customWidth="1"/>
    <col min="24" max="24" width="11.625" style="0" customWidth="1"/>
    <col min="25" max="25" width="16.25390625" style="0" customWidth="1"/>
    <col min="26" max="26" width="18.125" style="0" customWidth="1"/>
    <col min="27" max="27" width="4.625" style="0" customWidth="1"/>
    <col min="28" max="28" width="11.375" style="0" customWidth="1"/>
    <col min="29" max="29" width="4.375" style="0" hidden="1" customWidth="1"/>
    <col min="30" max="30" width="10.00390625" style="0" customWidth="1"/>
    <col min="32" max="32" width="9.50390625" style="0" customWidth="1"/>
    <col min="33" max="33" width="10.625" style="0" customWidth="1"/>
    <col min="34" max="34" width="17.125" style="0" customWidth="1"/>
    <col min="35" max="35" width="17.00390625" style="0" customWidth="1"/>
    <col min="36" max="36" width="13.00390625" style="0" customWidth="1"/>
    <col min="37" max="37" width="15.875" style="0" customWidth="1"/>
    <col min="38" max="38" width="1.625" style="0" customWidth="1"/>
    <col min="40" max="40" width="8.00390625" style="0" customWidth="1"/>
    <col min="41" max="41" width="5.625" style="0" customWidth="1"/>
    <col min="43" max="43" width="10.125" style="0" customWidth="1"/>
    <col min="44" max="44" width="11.00390625" style="0" customWidth="1"/>
    <col min="47" max="47" width="14.375" style="0" customWidth="1"/>
    <col min="48" max="48" width="22.875" style="0" hidden="1" customWidth="1"/>
    <col min="49" max="49" width="1.625" style="0" hidden="1" customWidth="1"/>
    <col min="50" max="50" width="6.25390625" style="0" customWidth="1"/>
    <col min="51" max="51" width="2.75390625" style="0" customWidth="1"/>
    <col min="52" max="52" width="3.625" style="0" customWidth="1"/>
    <col min="53" max="53" width="4.875" style="0" customWidth="1"/>
    <col min="54" max="54" width="5.625" style="0" customWidth="1"/>
    <col min="60" max="60" width="1.625" style="0" customWidth="1"/>
    <col min="61" max="61" width="10.375" style="0" customWidth="1"/>
    <col min="62" max="62" width="22.25390625" style="0" customWidth="1"/>
    <col min="63" max="63" width="1.625" style="0" customWidth="1"/>
    <col min="65" max="65" width="3.625" style="0" customWidth="1"/>
    <col min="66" max="66" width="1.625" style="0" customWidth="1"/>
    <col min="67" max="67" width="5.625" style="0" customWidth="1"/>
    <col min="73" max="73" width="1.625" style="0" customWidth="1"/>
    <col min="74" max="74" width="12.625" style="0" customWidth="1"/>
    <col min="75" max="75" width="15.375" style="0" customWidth="1"/>
    <col min="76" max="76" width="1.625" style="0" customWidth="1"/>
    <col min="78" max="78" width="3.625" style="0" customWidth="1"/>
    <col min="79" max="79" width="1.625" style="0" customWidth="1"/>
    <col min="80" max="80" width="5.625" style="0" customWidth="1"/>
    <col min="86" max="86" width="1.625" style="0" customWidth="1"/>
    <col min="87" max="87" width="11.25390625" style="0" customWidth="1"/>
    <col min="88" max="88" width="13.50390625" style="0" customWidth="1"/>
    <col min="89" max="89" width="1.625" style="0" customWidth="1"/>
    <col min="91" max="91" width="3.625" style="0" customWidth="1"/>
    <col min="92" max="92" width="1.625" style="0" customWidth="1"/>
    <col min="93" max="93" width="5.625" style="0" customWidth="1"/>
    <col min="98" max="98" width="10.625" style="0" customWidth="1"/>
    <col min="99" max="99" width="5.75390625" style="0" customWidth="1"/>
    <col min="101" max="101" width="13.875" style="0" customWidth="1"/>
    <col min="102" max="102" width="1.625" style="0" customWidth="1"/>
    <col min="104" max="104" width="3.625" style="0" customWidth="1"/>
    <col min="105" max="105" width="1.625" style="0" customWidth="1"/>
    <col min="106" max="106" width="6.375" style="0" customWidth="1"/>
    <col min="112" max="112" width="7.25390625" style="0" customWidth="1"/>
    <col min="113" max="113" width="11.25390625" style="0" customWidth="1"/>
    <col min="114" max="114" width="16.75390625" style="0" customWidth="1"/>
    <col min="115" max="115" width="1.625" style="0" customWidth="1"/>
    <col min="117" max="117" width="3.625" style="0" customWidth="1"/>
    <col min="118" max="118" width="1.625" style="0" customWidth="1"/>
    <col min="119" max="119" width="5.625" style="0" customWidth="1"/>
    <col min="125" max="125" width="1.625" style="0" customWidth="1"/>
    <col min="127" max="127" width="16.875" style="0" customWidth="1"/>
    <col min="128" max="128" width="1.625" style="0" customWidth="1"/>
    <col min="129" max="129" width="5.75390625" style="0" customWidth="1"/>
    <col min="130" max="130" width="3.625" style="0" customWidth="1"/>
    <col min="131" max="131" width="1.625" style="0" customWidth="1"/>
    <col min="132" max="132" width="4.00390625" style="0" customWidth="1"/>
    <col min="133" max="133" width="10.875" style="0" customWidth="1"/>
    <col min="138" max="138" width="1.625" style="0" customWidth="1"/>
    <col min="140" max="140" width="13.625" style="0" customWidth="1"/>
    <col min="141" max="141" width="13.00390625" style="0" customWidth="1"/>
    <col min="143" max="143" width="4.625" style="0" customWidth="1"/>
    <col min="144" max="144" width="9.375" style="0" customWidth="1"/>
    <col min="145" max="145" width="5.625" style="0" customWidth="1"/>
    <col min="150" max="150" width="10.625" style="0" customWidth="1"/>
    <col min="151" max="151" width="1.625" style="0" customWidth="1"/>
    <col min="152" max="152" width="11.50390625" style="0" customWidth="1"/>
    <col min="153" max="153" width="17.375" style="0" customWidth="1"/>
    <col min="154" max="155" width="1.625" style="0" customWidth="1"/>
    <col min="157" max="157" width="4.625" style="0" customWidth="1"/>
    <col min="158" max="158" width="1.625" style="0" customWidth="1"/>
    <col min="159" max="159" width="5.625" style="0" customWidth="1"/>
    <col min="165" max="165" width="1.625" style="0" customWidth="1"/>
    <col min="166" max="166" width="10.875" style="0" customWidth="1"/>
    <col min="167" max="167" width="21.375" style="0" customWidth="1"/>
    <col min="168" max="168" width="1.625" style="0" customWidth="1"/>
    <col min="170" max="170" width="4.625" style="0" customWidth="1"/>
    <col min="171" max="171" width="2.50390625" style="0" customWidth="1"/>
    <col min="172" max="172" width="7.625" style="0" customWidth="1"/>
    <col min="178" max="178" width="1.625" style="0" customWidth="1"/>
    <col min="179" max="179" width="12.875" style="0" customWidth="1"/>
    <col min="180" max="180" width="14.25390625" style="0" customWidth="1"/>
    <col min="181" max="181" width="11.625" style="0" customWidth="1"/>
    <col min="182" max="182" width="6.375" style="0" customWidth="1"/>
    <col min="183" max="183" width="5.25390625" style="0" customWidth="1"/>
    <col min="184" max="184" width="1.625" style="0" customWidth="1"/>
    <col min="185" max="185" width="5.625" style="0" customWidth="1"/>
    <col min="191" max="191" width="1.625" style="0" customWidth="1"/>
    <col min="192" max="192" width="10.875" style="0" customWidth="1"/>
    <col min="193" max="193" width="20.25390625" style="0" customWidth="1"/>
    <col min="194" max="194" width="1.625" style="0" customWidth="1"/>
    <col min="196" max="196" width="4.625" style="0" customWidth="1"/>
    <col min="197" max="197" width="1.625" style="0" customWidth="1"/>
    <col min="198" max="198" width="5.625" style="0" customWidth="1"/>
    <col min="200" max="200" width="9.375" style="0" customWidth="1"/>
    <col min="204" max="204" width="1.625" style="0" customWidth="1"/>
    <col min="205" max="205" width="11.25390625" style="0" customWidth="1"/>
    <col min="206" max="206" width="11.50390625" style="0" customWidth="1"/>
    <col min="207" max="207" width="14.125" style="0" customWidth="1"/>
    <col min="209" max="209" width="4.625" style="0" customWidth="1"/>
    <col min="210" max="210" width="1.625" style="0" customWidth="1"/>
    <col min="211" max="211" width="5.625" style="0" customWidth="1"/>
    <col min="217" max="217" width="1.625" style="0" customWidth="1"/>
    <col min="218" max="218" width="10.50390625" style="0" customWidth="1"/>
    <col min="219" max="219" width="17.50390625" style="0" customWidth="1"/>
    <col min="220" max="220" width="1.625" style="0" customWidth="1"/>
    <col min="222" max="222" width="4.625" style="0" customWidth="1"/>
    <col min="223" max="223" width="1.625" style="0" customWidth="1"/>
    <col min="224" max="224" width="5.625" style="0" customWidth="1"/>
    <col min="226" max="226" width="6.625" style="0" customWidth="1"/>
    <col min="230" max="230" width="1.75390625" style="0" customWidth="1"/>
    <col min="231" max="231" width="11.75390625" style="0" customWidth="1"/>
    <col min="232" max="232" width="12.75390625" style="0" customWidth="1"/>
    <col min="233" max="233" width="7.625" style="0" customWidth="1"/>
    <col min="234" max="234" width="4.625" style="0" customWidth="1"/>
    <col min="235" max="235" width="1.625" style="0" hidden="1" customWidth="1"/>
    <col min="236" max="236" width="4.625" style="0" customWidth="1"/>
    <col min="238" max="238" width="13.25390625" style="0" customWidth="1"/>
    <col min="241" max="241" width="10.625" style="0" customWidth="1"/>
    <col min="242" max="242" width="6.50390625" style="0" customWidth="1"/>
    <col min="243" max="243" width="11.00390625" style="0" customWidth="1"/>
    <col min="244" max="244" width="13.25390625" style="0" customWidth="1"/>
    <col min="245" max="245" width="7.50390625" style="0" customWidth="1"/>
    <col min="249" max="249" width="9.625" style="0" customWidth="1"/>
  </cols>
  <sheetData>
    <row r="1" spans="1:255" ht="12.75" thickBot="1">
      <c r="A1" s="225" t="s">
        <v>0</v>
      </c>
      <c r="B1" s="131"/>
      <c r="C1" s="199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70"/>
      <c r="P1" s="201"/>
      <c r="Q1" s="202"/>
      <c r="R1" s="203"/>
      <c r="S1" s="52"/>
      <c r="T1" s="40"/>
      <c r="U1" s="40"/>
      <c r="V1" s="40"/>
      <c r="W1" s="40"/>
      <c r="X1" s="40"/>
      <c r="Y1" s="40"/>
      <c r="Z1" s="53"/>
      <c r="AA1" s="1"/>
      <c r="AB1" s="52"/>
      <c r="AC1" s="39"/>
      <c r="AD1" s="69"/>
      <c r="AE1" s="40"/>
      <c r="AF1" s="40"/>
      <c r="AG1" s="40"/>
      <c r="AH1" s="40"/>
      <c r="AI1" s="40"/>
      <c r="AJ1" s="40"/>
      <c r="AK1" s="53"/>
      <c r="AL1" s="92"/>
      <c r="AM1" s="74"/>
      <c r="AN1" s="39"/>
      <c r="AO1" s="69"/>
      <c r="AP1" s="40"/>
      <c r="AQ1" s="40"/>
      <c r="AR1" s="40"/>
      <c r="AS1" s="40"/>
      <c r="AT1" s="40"/>
      <c r="AU1" s="40"/>
      <c r="AV1" s="40"/>
      <c r="AW1" s="93"/>
      <c r="AX1" s="42"/>
      <c r="AY1" s="69"/>
      <c r="AZ1" s="69"/>
      <c r="BA1" s="39"/>
      <c r="BB1" s="40"/>
      <c r="BC1" s="40"/>
      <c r="BD1" s="40"/>
      <c r="BE1" s="40"/>
      <c r="BF1" s="40"/>
      <c r="BG1" s="40"/>
      <c r="BH1" s="69"/>
      <c r="BI1" s="40"/>
      <c r="BJ1" s="53"/>
      <c r="BK1" s="41"/>
      <c r="BL1" s="69"/>
      <c r="BM1" s="40"/>
      <c r="BN1" s="39"/>
      <c r="BO1" s="40"/>
      <c r="BP1" s="40"/>
      <c r="BQ1" s="40"/>
      <c r="BR1" s="40"/>
      <c r="BS1" s="40"/>
      <c r="BT1" s="40"/>
      <c r="BU1" s="69"/>
      <c r="BV1" s="40"/>
      <c r="BW1" s="53"/>
      <c r="BX1" s="1"/>
      <c r="BZ1" s="2"/>
      <c r="CA1" s="1"/>
      <c r="CB1" s="52"/>
      <c r="CC1" s="40"/>
      <c r="CD1" s="40"/>
      <c r="CE1" s="40"/>
      <c r="CF1" s="40"/>
      <c r="CG1" s="40"/>
      <c r="CH1" s="69"/>
      <c r="CI1" s="40"/>
      <c r="CJ1" s="53"/>
      <c r="CK1" s="1"/>
      <c r="CM1" s="2"/>
      <c r="CN1" s="1"/>
      <c r="CO1" s="52"/>
      <c r="CP1" s="40"/>
      <c r="CQ1" s="40"/>
      <c r="CR1" s="40"/>
      <c r="CS1" s="40"/>
      <c r="CT1" s="40"/>
      <c r="CU1" s="40"/>
      <c r="CV1" s="40"/>
      <c r="CW1" s="53"/>
      <c r="CX1" s="1"/>
      <c r="DA1" s="1"/>
      <c r="DB1" s="2"/>
      <c r="DC1" s="2"/>
      <c r="DD1" s="2"/>
      <c r="DE1" s="2"/>
      <c r="DF1" s="2"/>
      <c r="DG1" s="2"/>
      <c r="DI1" s="2"/>
      <c r="DJ1" s="2"/>
      <c r="DK1" s="1"/>
      <c r="DN1" s="1"/>
      <c r="DO1" s="52"/>
      <c r="DP1" s="40"/>
      <c r="DQ1" s="40"/>
      <c r="DR1" s="40"/>
      <c r="DS1" s="40"/>
      <c r="DT1" s="40"/>
      <c r="DU1" s="69"/>
      <c r="DV1" s="40"/>
      <c r="DW1" s="53"/>
      <c r="DX1" s="41"/>
      <c r="DY1" s="74"/>
      <c r="EA1" s="1"/>
      <c r="EB1" s="131"/>
      <c r="EC1" s="40"/>
      <c r="ED1" s="40"/>
      <c r="EE1" s="40"/>
      <c r="EF1" s="40"/>
      <c r="EG1" s="40"/>
      <c r="EH1" s="69"/>
      <c r="EI1" s="40"/>
      <c r="EJ1" s="40"/>
      <c r="EK1" s="41"/>
      <c r="EL1" s="42"/>
      <c r="EM1" s="69"/>
      <c r="EN1" s="39"/>
      <c r="EO1" s="40"/>
      <c r="EP1" s="40"/>
      <c r="EQ1" s="40"/>
      <c r="ER1" s="40"/>
      <c r="ES1" s="40"/>
      <c r="ET1" s="40"/>
      <c r="EU1" s="40"/>
      <c r="EV1" s="40"/>
      <c r="EW1" s="53"/>
      <c r="EX1" s="41"/>
      <c r="EY1" s="69"/>
      <c r="EZ1" s="69"/>
      <c r="FA1" s="69"/>
      <c r="FB1" s="39"/>
      <c r="FC1" s="40"/>
      <c r="FD1" s="40"/>
      <c r="FE1" s="40"/>
      <c r="FF1" s="40"/>
      <c r="FG1" s="40"/>
      <c r="FH1" s="40"/>
      <c r="FI1" s="40"/>
      <c r="FJ1" s="69"/>
      <c r="FK1" s="53"/>
      <c r="FL1" s="1"/>
      <c r="FO1" s="39"/>
      <c r="FP1" s="40"/>
      <c r="FQ1" s="40"/>
      <c r="FR1" s="40"/>
      <c r="FS1" s="40"/>
      <c r="FT1" s="40"/>
      <c r="FU1" s="40"/>
      <c r="FV1" s="40"/>
      <c r="FW1" s="69"/>
      <c r="FX1" s="53"/>
      <c r="FY1" s="92"/>
      <c r="GB1" s="39"/>
      <c r="GC1" s="40"/>
      <c r="GD1" s="40"/>
      <c r="GE1" s="40"/>
      <c r="GF1" s="40"/>
      <c r="GG1" s="40"/>
      <c r="GH1" s="40"/>
      <c r="GI1" s="40"/>
      <c r="GJ1" s="69"/>
      <c r="GK1" s="53"/>
      <c r="GL1" s="1"/>
      <c r="GO1" s="131"/>
      <c r="GP1" s="41"/>
      <c r="GQ1" s="40"/>
      <c r="GR1" s="40"/>
      <c r="GS1" s="40"/>
      <c r="GT1" s="40"/>
      <c r="GU1" s="40"/>
      <c r="GV1" s="40"/>
      <c r="GW1" s="69"/>
      <c r="GX1" s="40"/>
      <c r="GY1" s="93"/>
      <c r="HB1" s="39"/>
      <c r="HC1" s="40"/>
      <c r="HD1" s="40"/>
      <c r="HE1" s="40"/>
      <c r="HF1" s="40"/>
      <c r="HG1" s="40"/>
      <c r="HH1" s="40"/>
      <c r="HI1" s="40"/>
      <c r="HJ1" s="69"/>
      <c r="HK1" s="53"/>
      <c r="HL1" s="1"/>
      <c r="HO1" s="39"/>
      <c r="HP1" s="40"/>
      <c r="HQ1" s="40"/>
      <c r="HR1" s="40"/>
      <c r="HS1" s="40"/>
      <c r="HT1" s="40"/>
      <c r="HU1" s="40"/>
      <c r="HV1" s="40"/>
      <c r="HW1" s="69"/>
      <c r="HX1" s="40"/>
      <c r="HY1" s="93"/>
      <c r="IA1" s="39"/>
      <c r="IB1" s="52"/>
      <c r="IC1" s="40"/>
      <c r="ID1" s="40"/>
      <c r="IE1" s="40"/>
      <c r="IF1" s="40"/>
      <c r="IG1" s="40"/>
      <c r="IH1" s="40"/>
      <c r="II1" s="69"/>
      <c r="IJ1" s="40"/>
      <c r="IK1" s="93"/>
      <c r="IL1" s="2"/>
      <c r="IM1" s="3"/>
      <c r="IN1" s="3"/>
      <c r="IO1" s="3"/>
      <c r="IP1" s="3"/>
      <c r="IQ1" s="2"/>
      <c r="IR1" s="2"/>
      <c r="IU1" s="1"/>
    </row>
    <row r="2" spans="1:256" ht="16.5" thickBot="1">
      <c r="A2" s="225"/>
      <c r="B2" s="204"/>
      <c r="C2" s="24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14" t="s">
        <v>1</v>
      </c>
      <c r="P2" s="207"/>
      <c r="Q2" s="208"/>
      <c r="R2" s="209"/>
      <c r="S2" s="54" t="s">
        <v>2</v>
      </c>
      <c r="T2" s="55"/>
      <c r="U2" s="55"/>
      <c r="V2" s="55"/>
      <c r="W2" s="55"/>
      <c r="X2" s="43"/>
      <c r="Y2" s="43"/>
      <c r="Z2" s="48" t="s">
        <v>3</v>
      </c>
      <c r="AA2" s="6"/>
      <c r="AB2" s="59"/>
      <c r="AC2" s="70"/>
      <c r="AD2" s="391" t="s">
        <v>4</v>
      </c>
      <c r="AE2" s="392"/>
      <c r="AF2" s="393"/>
      <c r="AG2" s="43"/>
      <c r="AH2" s="43"/>
      <c r="AI2" s="43"/>
      <c r="AJ2" s="43"/>
      <c r="AK2" s="48" t="s">
        <v>5</v>
      </c>
      <c r="AL2" s="45"/>
      <c r="AM2" s="43"/>
      <c r="AN2" s="70"/>
      <c r="AO2" s="43"/>
      <c r="AP2" s="43"/>
      <c r="AQ2" s="43"/>
      <c r="AR2" s="43"/>
      <c r="AS2" s="43"/>
      <c r="AT2" s="43"/>
      <c r="AU2" s="43"/>
      <c r="AV2" s="44" t="s">
        <v>6</v>
      </c>
      <c r="AW2" s="94"/>
      <c r="AX2" s="46"/>
      <c r="AY2" s="43"/>
      <c r="AZ2" s="43"/>
      <c r="BA2" s="70"/>
      <c r="BB2" s="44" t="s">
        <v>7</v>
      </c>
      <c r="BC2" s="60" t="s">
        <v>8</v>
      </c>
      <c r="BD2" s="340">
        <v>200</v>
      </c>
      <c r="BE2" s="60" t="s">
        <v>9</v>
      </c>
      <c r="BF2" s="71">
        <f>(BD2)</f>
        <v>200</v>
      </c>
      <c r="BG2" s="43"/>
      <c r="BH2" s="43"/>
      <c r="BI2" s="43"/>
      <c r="BJ2" s="48" t="s">
        <v>10</v>
      </c>
      <c r="BK2" s="45"/>
      <c r="BL2" s="43"/>
      <c r="BM2" s="43"/>
      <c r="BN2" s="70"/>
      <c r="BO2" s="43"/>
      <c r="BP2" s="43"/>
      <c r="BQ2" s="43"/>
      <c r="BR2" s="43"/>
      <c r="BS2" s="43"/>
      <c r="BT2" s="43"/>
      <c r="BU2" s="43"/>
      <c r="BV2" s="43"/>
      <c r="BW2" s="48" t="s">
        <v>11</v>
      </c>
      <c r="BX2" s="6"/>
      <c r="BY2" s="4"/>
      <c r="BZ2" s="4"/>
      <c r="CA2" s="6"/>
      <c r="CB2" s="59"/>
      <c r="CC2" s="43"/>
      <c r="CD2" s="43"/>
      <c r="CE2" s="43"/>
      <c r="CF2" s="43"/>
      <c r="CG2" s="43"/>
      <c r="CH2" s="43"/>
      <c r="CI2" s="43"/>
      <c r="CJ2" s="48" t="s">
        <v>12</v>
      </c>
      <c r="CK2" s="6"/>
      <c r="CL2" s="4"/>
      <c r="CM2" s="4"/>
      <c r="CN2" s="6"/>
      <c r="CO2" s="59"/>
      <c r="CP2" s="43"/>
      <c r="CQ2" s="43"/>
      <c r="CR2" s="43"/>
      <c r="CS2" s="43"/>
      <c r="CT2" s="43"/>
      <c r="CU2" s="43"/>
      <c r="CV2" s="43"/>
      <c r="CW2" s="48" t="s">
        <v>13</v>
      </c>
      <c r="CX2" s="6"/>
      <c r="CY2" s="4"/>
      <c r="CZ2" s="4"/>
      <c r="DA2" s="6"/>
      <c r="DB2" s="123"/>
      <c r="DC2" s="124"/>
      <c r="DD2" s="124"/>
      <c r="DE2" s="124"/>
      <c r="DF2" s="124"/>
      <c r="DG2" s="124"/>
      <c r="DH2" s="124"/>
      <c r="DI2" s="124"/>
      <c r="DJ2" s="125" t="s">
        <v>14</v>
      </c>
      <c r="DK2" s="6"/>
      <c r="DL2" s="4"/>
      <c r="DM2" s="4"/>
      <c r="DN2" s="6"/>
      <c r="DO2" s="59"/>
      <c r="DP2" s="43"/>
      <c r="DQ2" s="43"/>
      <c r="DR2" s="43"/>
      <c r="DS2" s="43"/>
      <c r="DT2" s="43"/>
      <c r="DU2" s="43"/>
      <c r="DV2" s="43"/>
      <c r="DW2" s="48" t="s">
        <v>15</v>
      </c>
      <c r="DX2" s="45"/>
      <c r="DY2" s="43"/>
      <c r="DZ2" s="4"/>
      <c r="EA2" s="6"/>
      <c r="EB2" s="49"/>
      <c r="EC2" s="43"/>
      <c r="ED2" s="43"/>
      <c r="EE2" s="43"/>
      <c r="EF2" s="43"/>
      <c r="EG2" s="43"/>
      <c r="EH2" s="43"/>
      <c r="EI2" s="43"/>
      <c r="EJ2" s="44" t="s">
        <v>16</v>
      </c>
      <c r="EK2" s="45"/>
      <c r="EL2" s="46"/>
      <c r="EM2" s="43"/>
      <c r="EN2" s="70"/>
      <c r="EO2" s="43"/>
      <c r="EP2" s="43"/>
      <c r="EQ2" s="43"/>
      <c r="ER2" s="43"/>
      <c r="ES2" s="43"/>
      <c r="ET2" s="43"/>
      <c r="EU2" s="43"/>
      <c r="EV2" s="43"/>
      <c r="EW2" s="48" t="s">
        <v>17</v>
      </c>
      <c r="EX2" s="45"/>
      <c r="EY2" s="43"/>
      <c r="EZ2" s="43"/>
      <c r="FA2" s="43"/>
      <c r="FB2" s="70"/>
      <c r="FC2" s="43"/>
      <c r="FD2" s="43"/>
      <c r="FE2" s="43"/>
      <c r="FF2" s="43"/>
      <c r="FG2" s="43"/>
      <c r="FH2" s="43"/>
      <c r="FI2" s="43"/>
      <c r="FJ2" s="43"/>
      <c r="FK2" s="48" t="s">
        <v>18</v>
      </c>
      <c r="FL2" s="6"/>
      <c r="FM2" s="4"/>
      <c r="FN2" s="4"/>
      <c r="FO2" s="70"/>
      <c r="FP2" s="43"/>
      <c r="FQ2" s="43"/>
      <c r="FR2" s="43"/>
      <c r="FS2" s="43"/>
      <c r="FT2" s="43"/>
      <c r="FU2" s="43"/>
      <c r="FV2" s="43"/>
      <c r="FW2" s="43"/>
      <c r="FX2" s="48" t="s">
        <v>19</v>
      </c>
      <c r="FY2" s="45"/>
      <c r="FZ2" s="4"/>
      <c r="GA2" s="4"/>
      <c r="GB2" s="70"/>
      <c r="GC2" s="43"/>
      <c r="GD2" s="43"/>
      <c r="GE2" s="43"/>
      <c r="GF2" s="43"/>
      <c r="GG2" s="43"/>
      <c r="GH2" s="43"/>
      <c r="GI2" s="43"/>
      <c r="GJ2" s="43"/>
      <c r="GK2" s="48" t="s">
        <v>20</v>
      </c>
      <c r="GL2" s="6"/>
      <c r="GM2" s="4"/>
      <c r="GN2" s="4"/>
      <c r="GO2" s="70"/>
      <c r="GP2" s="43"/>
      <c r="GQ2" s="43"/>
      <c r="GR2" s="43"/>
      <c r="GS2" s="43"/>
      <c r="GT2" s="43"/>
      <c r="GU2" s="43"/>
      <c r="GV2" s="43"/>
      <c r="GW2" s="43"/>
      <c r="GX2" s="44" t="s">
        <v>21</v>
      </c>
      <c r="GY2" s="94"/>
      <c r="GZ2" s="4"/>
      <c r="HA2" s="4"/>
      <c r="HB2" s="70"/>
      <c r="HC2" s="43"/>
      <c r="HD2" s="43"/>
      <c r="HE2" s="43"/>
      <c r="HF2" s="43"/>
      <c r="HG2" s="43"/>
      <c r="HH2" s="43"/>
      <c r="HI2" s="43"/>
      <c r="HJ2" s="43"/>
      <c r="HK2" s="48" t="s">
        <v>22</v>
      </c>
      <c r="HL2" s="6"/>
      <c r="HM2" s="4"/>
      <c r="HN2" s="4"/>
      <c r="HO2" s="70"/>
      <c r="HP2" s="43"/>
      <c r="HQ2" s="75" t="s">
        <v>23</v>
      </c>
      <c r="HR2" s="75" t="s">
        <v>24</v>
      </c>
      <c r="HS2" s="43"/>
      <c r="HT2" s="43"/>
      <c r="HU2" s="43"/>
      <c r="HV2" s="43"/>
      <c r="HW2" s="43"/>
      <c r="HX2" s="44" t="s">
        <v>25</v>
      </c>
      <c r="HY2" s="94"/>
      <c r="HZ2" s="4"/>
      <c r="IA2" s="70"/>
      <c r="IB2" s="56"/>
      <c r="IC2" s="43"/>
      <c r="ID2" s="43"/>
      <c r="IE2" s="43"/>
      <c r="IF2" s="43"/>
      <c r="IG2" s="43"/>
      <c r="IH2" s="43"/>
      <c r="II2" s="43"/>
      <c r="IJ2" s="44" t="s">
        <v>26</v>
      </c>
      <c r="IK2" s="94"/>
      <c r="IL2" s="5" t="s">
        <v>27</v>
      </c>
      <c r="IM2" s="10" t="s">
        <v>27</v>
      </c>
      <c r="IN2" s="10" t="s">
        <v>27</v>
      </c>
      <c r="IO2" s="10" t="s">
        <v>27</v>
      </c>
      <c r="IP2" s="10" t="s">
        <v>27</v>
      </c>
      <c r="IQ2" s="5" t="s">
        <v>27</v>
      </c>
      <c r="IR2" s="5" t="s">
        <v>27</v>
      </c>
      <c r="IS2" s="4"/>
      <c r="IT2" s="5" t="s">
        <v>27</v>
      </c>
      <c r="IU2" s="6" t="s">
        <v>28</v>
      </c>
      <c r="IV2" s="4"/>
    </row>
    <row r="3" spans="1:256" ht="16.5" thickBot="1">
      <c r="A3" s="272"/>
      <c r="B3" s="204"/>
      <c r="C3" s="245"/>
      <c r="D3" s="206" t="s">
        <v>0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8"/>
      <c r="P3" s="207"/>
      <c r="Q3" s="208"/>
      <c r="R3" s="209"/>
      <c r="S3" s="56"/>
      <c r="T3" s="57" t="s">
        <v>29</v>
      </c>
      <c r="U3" s="55"/>
      <c r="V3" s="55"/>
      <c r="W3" s="55"/>
      <c r="X3" s="43"/>
      <c r="Y3" s="544" t="str">
        <f>$M$4</f>
        <v>CAI4anoL.xls</v>
      </c>
      <c r="Z3" s="46"/>
      <c r="AA3" s="6"/>
      <c r="AB3" s="59"/>
      <c r="AC3" s="70"/>
      <c r="AD3" s="43"/>
      <c r="AF3" s="55"/>
      <c r="AG3" s="55"/>
      <c r="AH3" s="55"/>
      <c r="AI3" s="55"/>
      <c r="AJ3" s="43"/>
      <c r="AK3" s="46"/>
      <c r="AL3" s="45"/>
      <c r="AM3" s="43"/>
      <c r="AN3" s="70"/>
      <c r="AO3" s="43"/>
      <c r="AP3" s="43"/>
      <c r="AQ3" s="43"/>
      <c r="AR3" s="43"/>
      <c r="AS3" s="43"/>
      <c r="AT3" s="43"/>
      <c r="AU3" s="43"/>
      <c r="AV3" s="43"/>
      <c r="AW3" s="94"/>
      <c r="AX3" s="46"/>
      <c r="AY3" s="43"/>
      <c r="AZ3" s="43"/>
      <c r="BA3" s="70"/>
      <c r="BB3" s="43"/>
      <c r="BC3" s="43"/>
      <c r="BD3" s="43"/>
      <c r="BE3" s="43"/>
      <c r="BF3" s="43"/>
      <c r="BG3" s="43"/>
      <c r="BH3" s="43"/>
      <c r="BI3" s="43"/>
      <c r="BJ3" s="46"/>
      <c r="BK3" s="45"/>
      <c r="BL3" s="43"/>
      <c r="BM3" s="43"/>
      <c r="BN3" s="70"/>
      <c r="BO3" s="43"/>
      <c r="BP3" s="43"/>
      <c r="BQ3" s="43"/>
      <c r="BR3" s="43"/>
      <c r="BS3" s="43"/>
      <c r="BT3" s="43"/>
      <c r="BU3" s="43"/>
      <c r="BV3" s="43"/>
      <c r="BW3" s="46"/>
      <c r="BX3" s="6"/>
      <c r="BY3" s="4"/>
      <c r="BZ3" s="4"/>
      <c r="CA3" s="6"/>
      <c r="CB3" s="59"/>
      <c r="CC3" s="102" t="s">
        <v>30</v>
      </c>
      <c r="CD3" s="111"/>
      <c r="CE3" s="111"/>
      <c r="CF3" s="43"/>
      <c r="CG3" s="43"/>
      <c r="CH3" s="43"/>
      <c r="CI3" s="43"/>
      <c r="CJ3" s="46"/>
      <c r="CK3" s="6"/>
      <c r="CL3" s="4"/>
      <c r="CM3" s="4"/>
      <c r="CN3" s="6"/>
      <c r="CO3" s="59"/>
      <c r="CP3" s="113" t="s">
        <v>31</v>
      </c>
      <c r="CQ3" s="114"/>
      <c r="CR3" s="114"/>
      <c r="CS3" s="36"/>
      <c r="CT3" s="43"/>
      <c r="CU3" s="43"/>
      <c r="CV3" s="43"/>
      <c r="CW3" s="46"/>
      <c r="CX3" s="6"/>
      <c r="CY3" s="4"/>
      <c r="CZ3" s="4"/>
      <c r="DA3" s="6"/>
      <c r="DB3" s="59"/>
      <c r="DC3" s="102" t="s">
        <v>32</v>
      </c>
      <c r="DD3" s="103"/>
      <c r="DE3" s="103"/>
      <c r="DF3" s="104"/>
      <c r="DG3" s="43"/>
      <c r="DH3" s="43"/>
      <c r="DI3" s="43"/>
      <c r="DJ3" s="46"/>
      <c r="DK3" s="6"/>
      <c r="DL3" s="4"/>
      <c r="DM3" s="4"/>
      <c r="DN3" s="6"/>
      <c r="DO3" s="59"/>
      <c r="DP3" s="102" t="s">
        <v>33</v>
      </c>
      <c r="DQ3" s="103"/>
      <c r="DR3" s="103"/>
      <c r="DS3" s="36"/>
      <c r="DT3" s="43"/>
      <c r="DU3" s="43"/>
      <c r="DV3" s="43"/>
      <c r="DW3" s="46"/>
      <c r="DX3" s="45"/>
      <c r="DY3" s="43"/>
      <c r="DZ3" s="4"/>
      <c r="EA3" s="6"/>
      <c r="EB3" s="59"/>
      <c r="EC3" s="132" t="s">
        <v>34</v>
      </c>
      <c r="ED3" s="133"/>
      <c r="EE3" s="104"/>
      <c r="EF3" s="36"/>
      <c r="EG3" s="43"/>
      <c r="EH3" s="43"/>
      <c r="EI3" s="43"/>
      <c r="EJ3" s="43"/>
      <c r="EK3" s="45"/>
      <c r="EL3" s="46"/>
      <c r="EM3" s="43"/>
      <c r="EN3" s="70"/>
      <c r="EO3" s="43"/>
      <c r="EP3" s="102" t="s">
        <v>35</v>
      </c>
      <c r="EQ3" s="102" t="s">
        <v>36</v>
      </c>
      <c r="ER3" s="103"/>
      <c r="ES3" s="103"/>
      <c r="ET3" s="36"/>
      <c r="EU3" s="43"/>
      <c r="EV3" s="43"/>
      <c r="EW3" s="46"/>
      <c r="EX3" s="45"/>
      <c r="EY3" s="43"/>
      <c r="EZ3" s="43"/>
      <c r="FA3" s="43"/>
      <c r="FB3" s="70"/>
      <c r="FC3" s="43"/>
      <c r="FD3" s="102" t="s">
        <v>37</v>
      </c>
      <c r="FE3" s="102" t="s">
        <v>38</v>
      </c>
      <c r="FF3" s="111"/>
      <c r="FG3" s="43"/>
      <c r="FH3" s="43"/>
      <c r="FI3" s="43"/>
      <c r="FJ3" s="43"/>
      <c r="FK3" s="46"/>
      <c r="FL3" s="6"/>
      <c r="FM3" s="4"/>
      <c r="FN3" s="4"/>
      <c r="FO3" s="70"/>
      <c r="FP3" s="43"/>
      <c r="FQ3" s="102" t="s">
        <v>39</v>
      </c>
      <c r="FR3" s="102" t="s">
        <v>40</v>
      </c>
      <c r="FS3" s="103"/>
      <c r="FT3" s="103"/>
      <c r="FU3" s="43"/>
      <c r="FV3" s="43"/>
      <c r="FW3" s="43"/>
      <c r="FX3" s="46"/>
      <c r="FY3" s="45"/>
      <c r="FZ3" s="4"/>
      <c r="GA3" s="4"/>
      <c r="GB3" s="70"/>
      <c r="GC3" s="43"/>
      <c r="GD3" s="102" t="s">
        <v>41</v>
      </c>
      <c r="GE3" s="102" t="s">
        <v>42</v>
      </c>
      <c r="GF3" s="103"/>
      <c r="GG3" s="103"/>
      <c r="GH3" s="103"/>
      <c r="GI3" s="36"/>
      <c r="GJ3" s="43"/>
      <c r="GK3" s="46"/>
      <c r="GL3" s="6"/>
      <c r="GM3" s="4"/>
      <c r="GN3" s="4"/>
      <c r="GO3" s="70"/>
      <c r="GP3" s="43"/>
      <c r="GQ3" s="102" t="s">
        <v>43</v>
      </c>
      <c r="GR3" s="103"/>
      <c r="GS3" s="103"/>
      <c r="GT3" s="43"/>
      <c r="GU3" s="43"/>
      <c r="GV3" s="43"/>
      <c r="GW3" s="43"/>
      <c r="GX3" s="43"/>
      <c r="GY3" s="94"/>
      <c r="GZ3" s="4"/>
      <c r="HA3" s="4"/>
      <c r="HB3" s="70"/>
      <c r="HC3" s="43"/>
      <c r="HD3" s="47" t="s">
        <v>44</v>
      </c>
      <c r="HE3" s="36"/>
      <c r="HF3" s="36"/>
      <c r="HG3" s="43"/>
      <c r="HH3" s="43"/>
      <c r="HI3" s="43"/>
      <c r="HJ3" s="43"/>
      <c r="HK3" s="46"/>
      <c r="HL3" s="6"/>
      <c r="HM3" s="4"/>
      <c r="HN3" s="4"/>
      <c r="HO3" s="70"/>
      <c r="HP3" s="43"/>
      <c r="HQ3" s="47" t="s">
        <v>45</v>
      </c>
      <c r="HR3" s="47" t="s">
        <v>46</v>
      </c>
      <c r="HS3" s="36"/>
      <c r="HT3" s="43"/>
      <c r="HU3" s="43"/>
      <c r="HV3" s="43"/>
      <c r="HW3" s="138"/>
      <c r="HX3" s="43"/>
      <c r="HY3" s="94"/>
      <c r="HZ3" s="4"/>
      <c r="IA3" s="70"/>
      <c r="IB3" s="59"/>
      <c r="IC3" s="102" t="s">
        <v>47</v>
      </c>
      <c r="ID3" s="102" t="s">
        <v>48</v>
      </c>
      <c r="IE3" s="111"/>
      <c r="IF3" s="111"/>
      <c r="IG3" s="43"/>
      <c r="IH3" s="43"/>
      <c r="II3" s="43"/>
      <c r="IJ3" s="43"/>
      <c r="IK3" s="94"/>
      <c r="IL3" s="11">
        <f aca="true" t="shared" si="0" ref="IL3:IL20">IF((EM15)=1,0,(EV15))</f>
        <v>0</v>
      </c>
      <c r="IM3" s="13">
        <f aca="true" t="shared" si="1" ref="IM3:IM41">IF((DZ15)=1,0,(EI15))</f>
        <v>2080</v>
      </c>
      <c r="IN3" s="13">
        <f aca="true" t="shared" si="2" ref="IN3:IN38">IF((AZ18)=1,0,(BI18))</f>
        <v>196.67809728</v>
      </c>
      <c r="IO3" s="13">
        <f aca="true" t="shared" si="3" ref="IO3:IO9">IF((BM19)=1,0,(BV19))</f>
        <v>105</v>
      </c>
      <c r="IP3" s="13"/>
      <c r="IQ3" s="4"/>
      <c r="IR3" s="4"/>
      <c r="IS3" s="4"/>
      <c r="IT3" s="4"/>
      <c r="IU3" s="6" t="s">
        <v>28</v>
      </c>
      <c r="IV3" s="4"/>
    </row>
    <row r="4" spans="1:256" ht="16.5" thickBot="1">
      <c r="A4" s="225"/>
      <c r="B4" s="204"/>
      <c r="C4" s="245"/>
      <c r="D4" s="205"/>
      <c r="E4" s="205"/>
      <c r="F4" s="205"/>
      <c r="G4" s="205"/>
      <c r="H4" s="205"/>
      <c r="I4" s="205"/>
      <c r="J4" s="205"/>
      <c r="K4" s="205"/>
      <c r="L4" s="574" t="s">
        <v>49</v>
      </c>
      <c r="M4" s="575" t="s">
        <v>50</v>
      </c>
      <c r="N4" s="576" t="s">
        <v>51</v>
      </c>
      <c r="O4" s="573"/>
      <c r="P4" s="244"/>
      <c r="Q4" s="208"/>
      <c r="R4" s="209"/>
      <c r="S4" s="59"/>
      <c r="T4" s="43"/>
      <c r="U4" s="43"/>
      <c r="V4" s="43"/>
      <c r="W4" s="43"/>
      <c r="X4" s="44" t="s">
        <v>52</v>
      </c>
      <c r="Y4" s="60" t="s">
        <v>53</v>
      </c>
      <c r="Z4" s="61" t="s">
        <v>54</v>
      </c>
      <c r="AA4" s="6"/>
      <c r="AB4" s="59"/>
      <c r="AC4" s="70"/>
      <c r="AD4" s="43"/>
      <c r="AI4" s="43"/>
      <c r="AJ4" s="305" t="str">
        <f>M4</f>
        <v>CAI4anoL.xls</v>
      </c>
      <c r="AK4" s="46"/>
      <c r="AL4" s="45"/>
      <c r="AM4" s="43"/>
      <c r="AN4" s="70"/>
      <c r="AO4" s="43"/>
      <c r="AP4" s="43"/>
      <c r="AQ4" s="43"/>
      <c r="AR4" s="43"/>
      <c r="AS4" s="43"/>
      <c r="AT4" s="43"/>
      <c r="AU4" s="305" t="str">
        <f>M4</f>
        <v>CAI4anoL.xls</v>
      </c>
      <c r="AV4" s="43"/>
      <c r="AW4" s="94"/>
      <c r="AX4" s="46"/>
      <c r="AY4" s="43"/>
      <c r="AZ4" s="43"/>
      <c r="BA4" s="70"/>
      <c r="BB4" s="73"/>
      <c r="BC4" s="73" t="s">
        <v>55</v>
      </c>
      <c r="BD4" s="531">
        <v>15</v>
      </c>
      <c r="BE4" s="43"/>
      <c r="BF4" s="74"/>
      <c r="BG4" s="44"/>
      <c r="BH4" s="43"/>
      <c r="BI4" s="305" t="str">
        <f>M4</f>
        <v>CAI4anoL.xls</v>
      </c>
      <c r="BJ4" s="46"/>
      <c r="BK4" s="45"/>
      <c r="BL4" s="43"/>
      <c r="BM4" s="43"/>
      <c r="BN4" s="70"/>
      <c r="BO4" s="43"/>
      <c r="BP4" s="43"/>
      <c r="BQ4" s="43"/>
      <c r="BR4" s="43"/>
      <c r="BS4" s="43"/>
      <c r="BT4" s="43"/>
      <c r="BU4" s="43"/>
      <c r="BV4" s="309" t="str">
        <f>BI4</f>
        <v>CAI4anoL.xls</v>
      </c>
      <c r="BW4" s="46"/>
      <c r="BX4" s="6"/>
      <c r="BY4" s="4"/>
      <c r="BZ4" s="4"/>
      <c r="CA4" s="6"/>
      <c r="CB4" s="59"/>
      <c r="CC4" s="43"/>
      <c r="CD4" s="43"/>
      <c r="CE4" s="43"/>
      <c r="CF4" s="43"/>
      <c r="CG4" s="43"/>
      <c r="CH4" s="43"/>
      <c r="CI4" s="309" t="str">
        <f>M4</f>
        <v>CAI4anoL.xls</v>
      </c>
      <c r="CJ4" s="46"/>
      <c r="CK4" s="6"/>
      <c r="CL4" s="4"/>
      <c r="CM4" s="4"/>
      <c r="CN4" s="6"/>
      <c r="CO4" s="115"/>
      <c r="CP4" s="113" t="s">
        <v>56</v>
      </c>
      <c r="CQ4" s="116"/>
      <c r="CR4" s="117"/>
      <c r="CS4" s="43"/>
      <c r="CT4" s="43"/>
      <c r="CU4" s="43"/>
      <c r="CV4" s="309" t="str">
        <f>M4</f>
        <v>CAI4anoL.xls</v>
      </c>
      <c r="CW4" s="46"/>
      <c r="CX4" s="6"/>
      <c r="CY4" s="4"/>
      <c r="CZ4" s="4"/>
      <c r="DA4" s="6"/>
      <c r="DB4" s="59"/>
      <c r="DC4" s="43"/>
      <c r="DD4" s="43"/>
      <c r="DE4" s="43"/>
      <c r="DF4" s="43"/>
      <c r="DG4" s="43"/>
      <c r="DH4" s="43"/>
      <c r="DI4" s="309" t="str">
        <f>M4</f>
        <v>CAI4anoL.xls</v>
      </c>
      <c r="DJ4" s="46"/>
      <c r="DK4" s="6"/>
      <c r="DL4" s="4"/>
      <c r="DM4" s="4"/>
      <c r="DN4" s="6"/>
      <c r="DO4" s="59"/>
      <c r="DP4" s="43"/>
      <c r="DQ4" s="43"/>
      <c r="DR4" s="43"/>
      <c r="DS4" s="43"/>
      <c r="DT4" s="43"/>
      <c r="DU4" s="43"/>
      <c r="DV4" s="309" t="str">
        <f>M4</f>
        <v>CAI4anoL.xls</v>
      </c>
      <c r="DW4" s="46"/>
      <c r="DX4" s="45"/>
      <c r="DY4" s="43"/>
      <c r="DZ4" s="4"/>
      <c r="EA4" s="6"/>
      <c r="EB4" s="59"/>
      <c r="EC4" s="43"/>
      <c r="ED4" s="43"/>
      <c r="EE4" s="43"/>
      <c r="EF4" s="43"/>
      <c r="EG4" s="43"/>
      <c r="EH4" s="43"/>
      <c r="EI4" s="309" t="str">
        <f>M4</f>
        <v>CAI4anoL.xls</v>
      </c>
      <c r="EJ4" s="43"/>
      <c r="EK4" s="45"/>
      <c r="EL4" s="46"/>
      <c r="EM4" s="43"/>
      <c r="EN4" s="70"/>
      <c r="EO4" s="43"/>
      <c r="EP4" s="43"/>
      <c r="EQ4" s="43"/>
      <c r="ER4" s="43"/>
      <c r="ES4" s="43"/>
      <c r="ET4" s="43"/>
      <c r="EU4" s="43"/>
      <c r="EV4" s="309" t="str">
        <f>M4</f>
        <v>CAI4anoL.xls</v>
      </c>
      <c r="EW4" s="46"/>
      <c r="EX4" s="45"/>
      <c r="EY4" s="43"/>
      <c r="EZ4" s="43"/>
      <c r="FA4" s="43"/>
      <c r="FB4" s="70"/>
      <c r="FC4" s="43"/>
      <c r="FD4" s="43"/>
      <c r="FE4" s="43"/>
      <c r="FF4" s="43"/>
      <c r="FG4" s="43"/>
      <c r="FH4" s="43"/>
      <c r="FI4" s="43"/>
      <c r="FJ4" s="309" t="str">
        <f>M4</f>
        <v>CAI4anoL.xls</v>
      </c>
      <c r="FK4" s="46"/>
      <c r="FL4" s="6"/>
      <c r="FM4" s="4"/>
      <c r="FN4" s="4"/>
      <c r="FO4" s="70"/>
      <c r="FP4" s="43"/>
      <c r="FQ4" s="43"/>
      <c r="FR4" s="43"/>
      <c r="FS4" s="43"/>
      <c r="FT4" s="43"/>
      <c r="FU4" s="43"/>
      <c r="FV4" s="43"/>
      <c r="FW4" s="309" t="str">
        <f>M4</f>
        <v>CAI4anoL.xls</v>
      </c>
      <c r="FX4" s="46"/>
      <c r="FY4" s="45"/>
      <c r="FZ4" s="4"/>
      <c r="GA4" s="4"/>
      <c r="GB4" s="70"/>
      <c r="GC4" s="43"/>
      <c r="GD4" s="43"/>
      <c r="GE4" s="43"/>
      <c r="GF4" s="43"/>
      <c r="GG4" s="43"/>
      <c r="GH4" s="43"/>
      <c r="GI4" s="43"/>
      <c r="GJ4" s="309" t="str">
        <f>M4</f>
        <v>CAI4anoL.xls</v>
      </c>
      <c r="GK4" s="46"/>
      <c r="GL4" s="6"/>
      <c r="GM4" s="4"/>
      <c r="GN4" s="4"/>
      <c r="GO4" s="70"/>
      <c r="GP4" s="43"/>
      <c r="GQ4" s="43"/>
      <c r="GR4" s="43"/>
      <c r="GS4" s="43"/>
      <c r="GT4" s="43"/>
      <c r="GU4" s="43"/>
      <c r="GV4" s="43"/>
      <c r="GW4" s="309" t="str">
        <f>M4</f>
        <v>CAI4anoL.xls</v>
      </c>
      <c r="GX4" s="43"/>
      <c r="GY4" s="94"/>
      <c r="GZ4" s="4"/>
      <c r="HA4" s="4"/>
      <c r="HB4" s="70"/>
      <c r="HC4" s="43"/>
      <c r="HD4" s="43"/>
      <c r="HE4" s="43"/>
      <c r="HF4" s="43"/>
      <c r="HG4" s="43"/>
      <c r="HH4" s="43"/>
      <c r="HI4" s="43"/>
      <c r="HJ4" s="309" t="str">
        <f>M4</f>
        <v>CAI4anoL.xls</v>
      </c>
      <c r="HK4" s="46"/>
      <c r="HL4" s="6"/>
      <c r="HM4" s="4"/>
      <c r="HN4" s="4"/>
      <c r="HO4" s="70"/>
      <c r="HP4" s="43"/>
      <c r="HQ4" s="47" t="s">
        <v>57</v>
      </c>
      <c r="HR4" s="47" t="s">
        <v>58</v>
      </c>
      <c r="HS4" s="36"/>
      <c r="HT4" s="43"/>
      <c r="HU4" s="43"/>
      <c r="HV4" s="43"/>
      <c r="HW4" s="309" t="str">
        <f>M4</f>
        <v>CAI4anoL.xls</v>
      </c>
      <c r="HX4" s="43"/>
      <c r="HY4" s="94"/>
      <c r="HZ4" s="4"/>
      <c r="IA4" s="70"/>
      <c r="IB4" s="59"/>
      <c r="IC4" s="102" t="s">
        <v>59</v>
      </c>
      <c r="ID4" s="102" t="s">
        <v>60</v>
      </c>
      <c r="IE4" s="103"/>
      <c r="IF4" s="103"/>
      <c r="IG4" s="43"/>
      <c r="IH4" s="43"/>
      <c r="II4" s="309" t="str">
        <f>M4</f>
        <v>CAI4anoL.xls</v>
      </c>
      <c r="IJ4" s="43"/>
      <c r="IK4" s="94"/>
      <c r="IL4" s="11">
        <f t="shared" si="0"/>
        <v>210</v>
      </c>
      <c r="IM4" s="13">
        <f t="shared" si="1"/>
        <v>1280</v>
      </c>
      <c r="IN4" s="13">
        <f t="shared" si="2"/>
        <v>80</v>
      </c>
      <c r="IO4" s="13">
        <f t="shared" si="3"/>
        <v>9.450000000000001</v>
      </c>
      <c r="IP4" s="13">
        <f aca="true" t="shared" si="4" ref="IP4:IP42">IF((BZ15)=1,0,(CI15))</f>
        <v>938.7</v>
      </c>
      <c r="IQ4" s="11">
        <f aca="true" t="shared" si="5" ref="IQ4:IQ42">IF((CM15)=1,0,(CV15))</f>
        <v>52.4</v>
      </c>
      <c r="IR4" s="11">
        <f aca="true" t="shared" si="6" ref="IR4:IR42">IF((CZ15)=1,0,(DI15))</f>
        <v>117</v>
      </c>
      <c r="IS4" s="4"/>
      <c r="IT4" s="11">
        <f aca="true" t="shared" si="7" ref="IT4:IT10">IF((HZ13)=1,0,(II13))</f>
        <v>0</v>
      </c>
      <c r="IU4" s="6" t="s">
        <v>28</v>
      </c>
      <c r="IV4" s="4"/>
    </row>
    <row r="5" spans="1:256" ht="16.5" thickBot="1">
      <c r="A5" s="225"/>
      <c r="B5" s="204"/>
      <c r="C5" s="24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8"/>
      <c r="P5" s="207"/>
      <c r="Q5" s="208"/>
      <c r="R5" s="209"/>
      <c r="S5" s="59"/>
      <c r="T5" s="356" t="s">
        <v>61</v>
      </c>
      <c r="U5" s="357"/>
      <c r="V5" s="358"/>
      <c r="W5" s="43"/>
      <c r="X5" s="62">
        <f>SUM(X7+X14+X16+X20+X28+X34+X35+X37+X38)</f>
        <v>0</v>
      </c>
      <c r="Y5" s="359">
        <f>(Y7+Y14+Y16+Y20+Y28+Y34+Y35+Y37+Y44)</f>
        <v>132582.34809728</v>
      </c>
      <c r="Z5" s="63">
        <f>IF((X5)=0,0,(Y5-X5)/X5)</f>
        <v>0</v>
      </c>
      <c r="AA5" s="6"/>
      <c r="AB5" s="59"/>
      <c r="AC5" s="70"/>
      <c r="AD5" s="43"/>
      <c r="AE5" s="57" t="s">
        <v>62</v>
      </c>
      <c r="AF5" s="55"/>
      <c r="AG5" s="55"/>
      <c r="AH5" s="43"/>
      <c r="AI5" s="43"/>
      <c r="AJ5" s="43"/>
      <c r="AK5" s="46"/>
      <c r="AL5" s="45"/>
      <c r="AM5" s="43"/>
      <c r="AN5" s="70"/>
      <c r="AO5" s="43"/>
      <c r="AP5" s="75" t="s">
        <v>63</v>
      </c>
      <c r="AQ5" s="76"/>
      <c r="AR5" s="76"/>
      <c r="AS5" s="36"/>
      <c r="AT5" s="43"/>
      <c r="AU5" s="43"/>
      <c r="AV5" s="43"/>
      <c r="AW5" s="94"/>
      <c r="AX5" s="46"/>
      <c r="AY5" s="43"/>
      <c r="AZ5" s="43"/>
      <c r="BA5" s="70"/>
      <c r="BB5" s="44" t="s">
        <v>64</v>
      </c>
      <c r="BC5" s="43"/>
      <c r="BD5" s="530" t="s">
        <v>65</v>
      </c>
      <c r="BF5" s="43"/>
      <c r="BG5" s="43"/>
      <c r="BH5" s="43"/>
      <c r="BI5" s="43"/>
      <c r="BJ5" s="46"/>
      <c r="BK5" s="45"/>
      <c r="BL5" s="43"/>
      <c r="BM5" s="43"/>
      <c r="BN5" s="70"/>
      <c r="BO5" s="43"/>
      <c r="BP5" s="102" t="s">
        <v>66</v>
      </c>
      <c r="BQ5" s="102" t="s">
        <v>67</v>
      </c>
      <c r="BR5" s="103"/>
      <c r="BS5" s="104"/>
      <c r="BT5" s="43"/>
      <c r="BU5" s="43"/>
      <c r="BV5" s="43"/>
      <c r="BW5" s="46"/>
      <c r="BX5" s="6"/>
      <c r="BY5" s="4"/>
      <c r="BZ5" s="4"/>
      <c r="CA5" s="6"/>
      <c r="CB5" s="59"/>
      <c r="CC5" s="47" t="s">
        <v>68</v>
      </c>
      <c r="CD5" s="43"/>
      <c r="CE5" s="43"/>
      <c r="CF5" s="43"/>
      <c r="CG5" s="43"/>
      <c r="CH5" s="43"/>
      <c r="CI5" s="43"/>
      <c r="CJ5" s="46"/>
      <c r="CK5" s="6"/>
      <c r="CL5" s="4"/>
      <c r="CM5" s="4"/>
      <c r="CN5" s="6"/>
      <c r="CO5" s="59"/>
      <c r="CP5" s="113" t="s">
        <v>69</v>
      </c>
      <c r="CQ5" s="116"/>
      <c r="CR5" s="117"/>
      <c r="CS5" s="43"/>
      <c r="CT5" s="43"/>
      <c r="CU5" s="43"/>
      <c r="CV5" s="43"/>
      <c r="CW5" s="46"/>
      <c r="CX5" s="6"/>
      <c r="CY5" s="4"/>
      <c r="CZ5" s="4"/>
      <c r="DA5" s="6"/>
      <c r="DB5" s="59"/>
      <c r="DC5" s="44" t="s">
        <v>70</v>
      </c>
      <c r="DD5" s="43"/>
      <c r="DE5" s="330" t="s">
        <v>71</v>
      </c>
      <c r="DF5" s="331">
        <v>260</v>
      </c>
      <c r="DG5" s="332" t="s">
        <v>72</v>
      </c>
      <c r="DH5" s="43"/>
      <c r="DI5" s="43"/>
      <c r="DJ5" s="46"/>
      <c r="DK5" s="6"/>
      <c r="DL5" s="4"/>
      <c r="DM5" s="4"/>
      <c r="DN5" s="6"/>
      <c r="DO5" s="59"/>
      <c r="DP5" s="44" t="s">
        <v>70</v>
      </c>
      <c r="DQ5" s="43"/>
      <c r="DR5" s="330" t="s">
        <v>73</v>
      </c>
      <c r="DS5" s="331">
        <v>0</v>
      </c>
      <c r="DT5" s="332" t="s">
        <v>72</v>
      </c>
      <c r="DU5" s="43"/>
      <c r="DV5" s="43"/>
      <c r="DW5" s="46"/>
      <c r="DX5" s="45"/>
      <c r="DY5" s="43"/>
      <c r="DZ5" s="4"/>
      <c r="EA5" s="6"/>
      <c r="EB5" s="59"/>
      <c r="EC5" s="43"/>
      <c r="ED5" s="43"/>
      <c r="EE5" s="43"/>
      <c r="EF5" s="43"/>
      <c r="EG5" s="43"/>
      <c r="EH5" s="43"/>
      <c r="EI5" s="43"/>
      <c r="EJ5" s="43"/>
      <c r="EK5" s="45"/>
      <c r="EL5" s="46"/>
      <c r="EM5" s="43"/>
      <c r="EN5" s="70"/>
      <c r="EO5" s="43"/>
      <c r="EP5" s="43"/>
      <c r="EQ5" s="43"/>
      <c r="ER5" s="43"/>
      <c r="ES5" s="43"/>
      <c r="ET5" s="43"/>
      <c r="EU5" s="43"/>
      <c r="EV5" s="43"/>
      <c r="EW5" s="46"/>
      <c r="EX5" s="45"/>
      <c r="EY5" s="43"/>
      <c r="EZ5" s="43"/>
      <c r="FA5" s="43"/>
      <c r="FB5" s="70"/>
      <c r="FC5" s="43"/>
      <c r="FD5" s="43"/>
      <c r="FE5" s="43"/>
      <c r="FF5" s="43"/>
      <c r="FG5" s="43"/>
      <c r="FH5" s="43"/>
      <c r="FI5" s="43"/>
      <c r="FJ5" s="43"/>
      <c r="FK5" s="46"/>
      <c r="FL5" s="6"/>
      <c r="FM5" s="4"/>
      <c r="FN5" s="4"/>
      <c r="FO5" s="70"/>
      <c r="FP5" s="43"/>
      <c r="FQ5" s="43"/>
      <c r="FR5" s="43"/>
      <c r="FS5" s="43"/>
      <c r="FT5" s="43"/>
      <c r="FU5" s="43"/>
      <c r="FV5" s="43"/>
      <c r="FW5" s="43"/>
      <c r="FX5" s="46"/>
      <c r="FY5" s="45"/>
      <c r="FZ5" s="4"/>
      <c r="GA5" s="4"/>
      <c r="GB5" s="70"/>
      <c r="GC5" s="43"/>
      <c r="GD5" s="43"/>
      <c r="GE5" s="43"/>
      <c r="GF5" s="43"/>
      <c r="GG5" s="43"/>
      <c r="GH5" s="43"/>
      <c r="GI5" s="43"/>
      <c r="GJ5" s="43"/>
      <c r="GK5" s="46"/>
      <c r="GL5" s="6"/>
      <c r="GM5" s="4"/>
      <c r="GN5" s="4"/>
      <c r="GO5" s="70"/>
      <c r="GP5" s="43"/>
      <c r="GQ5" s="43"/>
      <c r="GR5" s="43"/>
      <c r="GS5" s="43"/>
      <c r="GT5" s="43"/>
      <c r="GU5" s="43"/>
      <c r="GV5" s="43"/>
      <c r="GW5" s="43"/>
      <c r="GX5" s="43"/>
      <c r="GY5" s="94"/>
      <c r="GZ5" s="4"/>
      <c r="HA5" s="4"/>
      <c r="HB5" s="70"/>
      <c r="HC5" s="43"/>
      <c r="HD5" s="43"/>
      <c r="HE5" s="43"/>
      <c r="HF5" s="47" t="s">
        <v>74</v>
      </c>
      <c r="HG5" s="43"/>
      <c r="HH5" s="43"/>
      <c r="HI5" s="43"/>
      <c r="HJ5" s="43"/>
      <c r="HK5" s="46"/>
      <c r="HL5" s="6"/>
      <c r="HM5" s="4"/>
      <c r="HN5" s="4"/>
      <c r="HO5" s="70"/>
      <c r="HP5" s="43"/>
      <c r="HQ5" s="43"/>
      <c r="HR5" s="43"/>
      <c r="HS5" s="43"/>
      <c r="HT5" s="43"/>
      <c r="HU5" s="43"/>
      <c r="HV5" s="43"/>
      <c r="HW5" s="43"/>
      <c r="HX5" s="43"/>
      <c r="HY5" s="94"/>
      <c r="HZ5" s="4"/>
      <c r="IA5" s="70"/>
      <c r="IB5" s="59"/>
      <c r="IC5" s="102" t="s">
        <v>75</v>
      </c>
      <c r="ID5" s="102" t="s">
        <v>76</v>
      </c>
      <c r="IE5" s="103"/>
      <c r="IF5" s="103"/>
      <c r="IG5" s="43"/>
      <c r="IH5" s="43"/>
      <c r="II5" s="43"/>
      <c r="IJ5" s="43"/>
      <c r="IK5" s="94"/>
      <c r="IL5" s="11">
        <f t="shared" si="0"/>
        <v>420</v>
      </c>
      <c r="IM5" s="13">
        <f t="shared" si="1"/>
        <v>800</v>
      </c>
      <c r="IN5" s="13">
        <f t="shared" si="2"/>
        <v>486</v>
      </c>
      <c r="IO5" s="13">
        <f t="shared" si="3"/>
        <v>420</v>
      </c>
      <c r="IP5" s="13">
        <f t="shared" si="4"/>
        <v>118.80000000000001</v>
      </c>
      <c r="IQ5" s="11">
        <f t="shared" si="5"/>
        <v>81.5</v>
      </c>
      <c r="IR5" s="11">
        <f t="shared" si="6"/>
        <v>0</v>
      </c>
      <c r="IS5" s="4"/>
      <c r="IT5" s="11">
        <f t="shared" si="7"/>
        <v>0</v>
      </c>
      <c r="IU5" s="6" t="s">
        <v>28</v>
      </c>
      <c r="IV5" s="4"/>
    </row>
    <row r="6" spans="1:256" ht="18.75" thickBot="1">
      <c r="A6" s="225"/>
      <c r="B6" s="204"/>
      <c r="C6" s="245"/>
      <c r="D6" s="486" t="s">
        <v>77</v>
      </c>
      <c r="E6" s="487"/>
      <c r="F6" s="487"/>
      <c r="G6" s="487"/>
      <c r="H6" s="487"/>
      <c r="I6" s="487"/>
      <c r="J6" s="540"/>
      <c r="K6" s="540"/>
      <c r="L6" s="540"/>
      <c r="M6" s="535"/>
      <c r="N6" s="205"/>
      <c r="O6" s="208"/>
      <c r="P6" s="207"/>
      <c r="Q6" s="208"/>
      <c r="R6" s="209"/>
      <c r="S6" s="59"/>
      <c r="T6" s="43"/>
      <c r="U6" s="43"/>
      <c r="V6" s="43"/>
      <c r="W6" s="43"/>
      <c r="X6" s="43"/>
      <c r="Y6" s="43"/>
      <c r="Z6" s="64"/>
      <c r="AA6" s="6"/>
      <c r="AB6" s="59"/>
      <c r="AC6" s="70"/>
      <c r="AD6" s="43"/>
      <c r="AE6" s="43"/>
      <c r="AF6" s="43"/>
      <c r="AG6" s="43"/>
      <c r="AH6" s="43"/>
      <c r="AI6" s="43"/>
      <c r="AJ6" s="43"/>
      <c r="AK6" s="46"/>
      <c r="AL6" s="45"/>
      <c r="AM6" s="43"/>
      <c r="AN6" s="70"/>
      <c r="AO6" s="43"/>
      <c r="AP6" s="43"/>
      <c r="AQ6" s="43"/>
      <c r="AR6" s="43"/>
      <c r="AS6" s="43"/>
      <c r="AT6" s="43"/>
      <c r="AU6" s="43"/>
      <c r="AV6" s="43"/>
      <c r="AW6" s="94"/>
      <c r="AX6" s="46"/>
      <c r="AY6" s="43"/>
      <c r="AZ6" s="43"/>
      <c r="BA6" s="70"/>
      <c r="BB6" s="43"/>
      <c r="BC6" s="43"/>
      <c r="BD6" s="43"/>
      <c r="BE6" s="44" t="s">
        <v>78</v>
      </c>
      <c r="BF6" s="43"/>
      <c r="BG6" s="43"/>
      <c r="BH6" s="44" t="s">
        <v>79</v>
      </c>
      <c r="BI6" s="529" t="s">
        <v>80</v>
      </c>
      <c r="BJ6" s="46"/>
      <c r="BK6" s="45"/>
      <c r="BL6" s="43"/>
      <c r="BM6" s="43"/>
      <c r="BN6" s="70"/>
      <c r="BO6" s="43"/>
      <c r="BP6" s="43"/>
      <c r="BQ6" s="43"/>
      <c r="BR6" s="43"/>
      <c r="BS6" s="43"/>
      <c r="BT6" s="43"/>
      <c r="BU6" s="43"/>
      <c r="BV6" s="43"/>
      <c r="BW6" s="46"/>
      <c r="BX6" s="6"/>
      <c r="BY6" s="4"/>
      <c r="BZ6" s="4"/>
      <c r="CA6" s="6"/>
      <c r="CB6" s="59"/>
      <c r="CC6" s="43"/>
      <c r="CD6" s="43"/>
      <c r="CE6" s="43"/>
      <c r="CF6" s="43"/>
      <c r="CG6" s="43"/>
      <c r="CH6" s="43"/>
      <c r="CI6" s="43"/>
      <c r="CJ6" s="46"/>
      <c r="CK6" s="6"/>
      <c r="CL6" s="4"/>
      <c r="CM6" s="4"/>
      <c r="CN6" s="6"/>
      <c r="CO6" s="59"/>
      <c r="CP6" s="118" t="s">
        <v>81</v>
      </c>
      <c r="CQ6" s="116"/>
      <c r="CR6" s="117"/>
      <c r="CS6" s="43"/>
      <c r="CT6" s="43"/>
      <c r="CU6" s="43"/>
      <c r="CV6" s="43"/>
      <c r="CW6" s="46"/>
      <c r="CX6" s="6"/>
      <c r="CY6" s="4"/>
      <c r="CZ6" s="4"/>
      <c r="DA6" s="6"/>
      <c r="DB6" s="59"/>
      <c r="DC6" s="43"/>
      <c r="DD6" s="43"/>
      <c r="DE6" s="333" t="s">
        <v>82</v>
      </c>
      <c r="DF6" s="101">
        <v>150</v>
      </c>
      <c r="DG6" s="334" t="s">
        <v>72</v>
      </c>
      <c r="DH6" s="43"/>
      <c r="DI6" s="44" t="s">
        <v>83</v>
      </c>
      <c r="DJ6" s="46"/>
      <c r="DK6" s="6"/>
      <c r="DL6" s="4"/>
      <c r="DM6" s="4"/>
      <c r="DN6" s="6"/>
      <c r="DO6" s="59"/>
      <c r="DP6" s="43"/>
      <c r="DQ6" s="43"/>
      <c r="DR6" s="333" t="s">
        <v>84</v>
      </c>
      <c r="DS6" s="101">
        <v>120</v>
      </c>
      <c r="DT6" s="334" t="s">
        <v>72</v>
      </c>
      <c r="DU6" s="43"/>
      <c r="DV6" s="44" t="s">
        <v>85</v>
      </c>
      <c r="DW6" s="46"/>
      <c r="DX6" s="45"/>
      <c r="DY6" s="43"/>
      <c r="DZ6" s="4"/>
      <c r="EA6" s="6"/>
      <c r="EB6" s="59"/>
      <c r="EC6" s="43"/>
      <c r="ED6" s="43"/>
      <c r="EE6" s="44" t="s">
        <v>86</v>
      </c>
      <c r="EF6" s="43"/>
      <c r="EG6" s="43"/>
      <c r="EH6" s="43"/>
      <c r="EI6" s="43"/>
      <c r="EJ6" s="44" t="s">
        <v>87</v>
      </c>
      <c r="EK6" s="45"/>
      <c r="EL6" s="46"/>
      <c r="EM6" s="43"/>
      <c r="EN6" s="70"/>
      <c r="EO6" s="43"/>
      <c r="EP6" s="43"/>
      <c r="EQ6" s="43"/>
      <c r="ER6" s="44" t="s">
        <v>88</v>
      </c>
      <c r="ES6" s="43"/>
      <c r="ET6" s="43"/>
      <c r="EU6" s="43"/>
      <c r="EV6" s="43"/>
      <c r="EW6" s="46"/>
      <c r="EX6" s="45"/>
      <c r="EY6" s="43"/>
      <c r="EZ6" s="43"/>
      <c r="FA6" s="43"/>
      <c r="FB6" s="70"/>
      <c r="FC6" s="43"/>
      <c r="FD6" s="43"/>
      <c r="FE6" s="43"/>
      <c r="FF6" s="43"/>
      <c r="FG6" s="43"/>
      <c r="FH6" s="43"/>
      <c r="FI6" s="43"/>
      <c r="FJ6" s="43"/>
      <c r="FK6" s="46"/>
      <c r="FL6" s="6"/>
      <c r="FM6" s="4"/>
      <c r="FN6" s="4"/>
      <c r="FO6" s="70"/>
      <c r="FP6" s="43"/>
      <c r="FQ6" s="43"/>
      <c r="FR6" s="43"/>
      <c r="FS6" s="43"/>
      <c r="FT6" s="43"/>
      <c r="FU6" s="43"/>
      <c r="FV6" s="43"/>
      <c r="FW6" s="43"/>
      <c r="FX6" s="46"/>
      <c r="FY6" s="45"/>
      <c r="FZ6" s="4"/>
      <c r="GA6" s="4"/>
      <c r="GB6" s="70"/>
      <c r="GC6" s="43"/>
      <c r="GD6" s="43"/>
      <c r="GE6" s="43"/>
      <c r="GF6" s="43"/>
      <c r="GG6" s="43"/>
      <c r="GH6" s="43"/>
      <c r="GI6" s="43"/>
      <c r="GJ6" s="43"/>
      <c r="GK6" s="46"/>
      <c r="GL6" s="6"/>
      <c r="GM6" s="4"/>
      <c r="GN6" s="4"/>
      <c r="GO6" s="70"/>
      <c r="GP6" s="43"/>
      <c r="GQ6" s="43"/>
      <c r="GR6" s="43"/>
      <c r="GS6" s="43"/>
      <c r="GT6" s="43"/>
      <c r="GU6" s="43"/>
      <c r="GV6" s="43"/>
      <c r="GW6" s="43"/>
      <c r="GX6" s="43"/>
      <c r="GY6" s="94"/>
      <c r="GZ6" s="4"/>
      <c r="HA6" s="4"/>
      <c r="HB6" s="70"/>
      <c r="HC6" s="43"/>
      <c r="HD6" s="43"/>
      <c r="HE6" s="100"/>
      <c r="HF6" s="99" t="s">
        <v>89</v>
      </c>
      <c r="HG6" s="100"/>
      <c r="HH6" s="100"/>
      <c r="HI6" s="43"/>
      <c r="HJ6" s="58">
        <v>0</v>
      </c>
      <c r="HK6" s="46"/>
      <c r="HL6" s="6"/>
      <c r="HM6" s="4"/>
      <c r="HN6" s="4"/>
      <c r="HO6" s="70"/>
      <c r="HP6" s="43"/>
      <c r="HQ6" s="44" t="s">
        <v>90</v>
      </c>
      <c r="HR6" s="43"/>
      <c r="HS6" s="43"/>
      <c r="HT6" s="43"/>
      <c r="HU6" s="43"/>
      <c r="HV6" s="43"/>
      <c r="HW6" s="43"/>
      <c r="HX6" s="71"/>
      <c r="HY6" s="94"/>
      <c r="HZ6" s="4"/>
      <c r="IA6" s="70"/>
      <c r="IB6" s="59"/>
      <c r="IC6" s="44" t="s">
        <v>90</v>
      </c>
      <c r="ID6" s="43"/>
      <c r="IE6" s="43"/>
      <c r="IF6" s="43"/>
      <c r="IG6" s="43"/>
      <c r="IH6" s="43"/>
      <c r="II6" s="43"/>
      <c r="IJ6" s="71"/>
      <c r="IK6" s="94"/>
      <c r="IL6" s="11">
        <f t="shared" si="0"/>
        <v>260</v>
      </c>
      <c r="IM6" s="13">
        <f t="shared" si="1"/>
        <v>0</v>
      </c>
      <c r="IN6" s="13">
        <f t="shared" si="2"/>
        <v>0</v>
      </c>
      <c r="IO6" s="13">
        <f t="shared" si="3"/>
        <v>54.6</v>
      </c>
      <c r="IP6" s="13">
        <f t="shared" si="4"/>
        <v>151.8</v>
      </c>
      <c r="IQ6" s="11">
        <f t="shared" si="5"/>
        <v>32.1</v>
      </c>
      <c r="IR6" s="11">
        <f t="shared" si="6"/>
        <v>338</v>
      </c>
      <c r="IS6" s="4"/>
      <c r="IT6" s="11">
        <f t="shared" si="7"/>
        <v>0</v>
      </c>
      <c r="IU6" s="6" t="s">
        <v>28</v>
      </c>
      <c r="IV6" s="4"/>
    </row>
    <row r="7" spans="1:256" ht="13.5" thickBot="1">
      <c r="A7" s="225"/>
      <c r="B7" s="204"/>
      <c r="C7" s="24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8"/>
      <c r="P7" s="207"/>
      <c r="Q7" s="208"/>
      <c r="R7" s="209"/>
      <c r="S7" s="59"/>
      <c r="T7" s="356" t="s">
        <v>91</v>
      </c>
      <c r="U7" s="357"/>
      <c r="V7" s="358"/>
      <c r="W7" s="43"/>
      <c r="X7" s="62">
        <f>SUM(X8:X12)</f>
        <v>0</v>
      </c>
      <c r="Y7" s="359">
        <f>SUM(Y8:Y12)</f>
        <v>53140</v>
      </c>
      <c r="Z7" s="63">
        <f aca="true" t="shared" si="8" ref="Z7:Z12">IF((X8)=0,0,(Y7-X7)/X7)</f>
        <v>0</v>
      </c>
      <c r="AA7" s="6"/>
      <c r="AB7" s="59"/>
      <c r="AC7" s="70"/>
      <c r="AD7" s="43"/>
      <c r="AE7" s="43"/>
      <c r="AF7" s="43"/>
      <c r="AG7" s="43"/>
      <c r="AH7" s="488" t="s">
        <v>92</v>
      </c>
      <c r="AI7" s="488" t="s">
        <v>27</v>
      </c>
      <c r="AJ7" s="488" t="s">
        <v>93</v>
      </c>
      <c r="AK7" s="488" t="s">
        <v>94</v>
      </c>
      <c r="AL7" s="45"/>
      <c r="AM7" s="43"/>
      <c r="AN7" s="70"/>
      <c r="AO7" s="43"/>
      <c r="AP7" s="45" t="s">
        <v>95</v>
      </c>
      <c r="AQ7" s="43"/>
      <c r="AR7" s="43"/>
      <c r="AS7" s="43"/>
      <c r="AT7" s="43"/>
      <c r="AU7" s="43"/>
      <c r="AV7" s="43"/>
      <c r="AW7" s="94"/>
      <c r="AX7" s="46"/>
      <c r="AY7" s="43"/>
      <c r="AZ7" s="43"/>
      <c r="BA7" s="70"/>
      <c r="BB7" s="43"/>
      <c r="BC7" s="47" t="s">
        <v>96</v>
      </c>
      <c r="BD7" s="43"/>
      <c r="BE7" s="43"/>
      <c r="BF7" s="43"/>
      <c r="BG7" s="43"/>
      <c r="BH7" s="43"/>
      <c r="BI7" s="43"/>
      <c r="BJ7" s="46"/>
      <c r="BK7" s="45"/>
      <c r="BL7" s="43"/>
      <c r="BM7" s="43"/>
      <c r="BN7" s="70"/>
      <c r="BO7" s="43"/>
      <c r="BP7" s="44" t="s">
        <v>97</v>
      </c>
      <c r="BQ7" s="43"/>
      <c r="BR7" s="43"/>
      <c r="BS7" s="43"/>
      <c r="BT7" s="43"/>
      <c r="BU7" s="43"/>
      <c r="BV7" s="43"/>
      <c r="BW7" s="46"/>
      <c r="BX7" s="6"/>
      <c r="BY7" s="4"/>
      <c r="BZ7" s="4"/>
      <c r="CA7" s="6"/>
      <c r="CB7" s="59"/>
      <c r="CC7" s="43"/>
      <c r="CD7" s="43"/>
      <c r="CE7" s="43"/>
      <c r="CF7" s="43"/>
      <c r="CG7" s="43"/>
      <c r="CH7" s="43"/>
      <c r="CI7" s="43"/>
      <c r="CJ7" s="46"/>
      <c r="CK7" s="6"/>
      <c r="CL7" s="4"/>
      <c r="CM7" s="4"/>
      <c r="CN7" s="6"/>
      <c r="CO7" s="59"/>
      <c r="CP7" s="118" t="s">
        <v>98</v>
      </c>
      <c r="CQ7" s="116"/>
      <c r="CR7" s="117"/>
      <c r="CS7" s="43"/>
      <c r="CT7" s="43"/>
      <c r="CU7" s="43"/>
      <c r="CV7" s="43"/>
      <c r="CW7" s="46"/>
      <c r="CX7" s="6"/>
      <c r="CY7" s="4"/>
      <c r="CZ7" s="4"/>
      <c r="DA7" s="6"/>
      <c r="DB7" s="59"/>
      <c r="DC7" s="43"/>
      <c r="DD7" s="43"/>
      <c r="DE7" s="333" t="s">
        <v>99</v>
      </c>
      <c r="DF7" s="101">
        <v>10</v>
      </c>
      <c r="DG7" s="334" t="s">
        <v>100</v>
      </c>
      <c r="DH7" s="43"/>
      <c r="DI7" s="43" t="s">
        <v>101</v>
      </c>
      <c r="DJ7" s="46"/>
      <c r="DK7" s="6"/>
      <c r="DL7" s="4"/>
      <c r="DM7" s="4"/>
      <c r="DN7" s="6"/>
      <c r="DO7" s="59"/>
      <c r="DP7" s="43"/>
      <c r="DQ7" s="43"/>
      <c r="DR7" s="333" t="s">
        <v>102</v>
      </c>
      <c r="DS7" s="101">
        <v>80</v>
      </c>
      <c r="DT7" s="334" t="s">
        <v>72</v>
      </c>
      <c r="DU7" s="43"/>
      <c r="DV7" s="43"/>
      <c r="DW7" s="46"/>
      <c r="DX7" s="45"/>
      <c r="DY7" s="43"/>
      <c r="DZ7" s="4"/>
      <c r="EA7" s="6"/>
      <c r="EB7" s="59"/>
      <c r="EC7" s="43"/>
      <c r="ED7" s="43"/>
      <c r="EE7" s="43"/>
      <c r="EF7" s="43"/>
      <c r="EG7" s="43"/>
      <c r="EH7" s="43"/>
      <c r="EI7" s="43"/>
      <c r="EJ7" s="43"/>
      <c r="EK7" s="45"/>
      <c r="EL7" s="46"/>
      <c r="EM7" s="43"/>
      <c r="EN7" s="70"/>
      <c r="EO7" s="43"/>
      <c r="EP7" s="43"/>
      <c r="EQ7" s="43"/>
      <c r="ER7" s="43"/>
      <c r="ES7" s="43"/>
      <c r="ET7" s="43"/>
      <c r="EU7" s="43"/>
      <c r="EV7" s="43"/>
      <c r="EW7" s="46"/>
      <c r="EX7" s="45"/>
      <c r="EY7" s="43"/>
      <c r="EZ7" s="43"/>
      <c r="FA7" s="43"/>
      <c r="FB7" s="70"/>
      <c r="FC7" s="43"/>
      <c r="FD7" s="43"/>
      <c r="FE7" s="43"/>
      <c r="FF7" s="43"/>
      <c r="FG7" s="43"/>
      <c r="FH7" s="43"/>
      <c r="FI7" s="43"/>
      <c r="FJ7" s="43"/>
      <c r="FK7" s="46"/>
      <c r="FL7" s="6"/>
      <c r="FM7" s="4"/>
      <c r="FN7" s="4"/>
      <c r="FO7" s="70"/>
      <c r="FP7" s="43"/>
      <c r="FQ7" s="43"/>
      <c r="FR7" s="43"/>
      <c r="FS7" s="43"/>
      <c r="FT7" s="43"/>
      <c r="FU7" s="43"/>
      <c r="FV7" s="43"/>
      <c r="FW7" s="43"/>
      <c r="FX7" s="46"/>
      <c r="FY7" s="45"/>
      <c r="FZ7" s="4"/>
      <c r="GA7" s="4"/>
      <c r="GB7" s="70"/>
      <c r="GC7" s="43"/>
      <c r="GD7" s="43"/>
      <c r="GE7" s="43"/>
      <c r="GF7" s="43"/>
      <c r="GG7" s="43"/>
      <c r="GH7" s="43"/>
      <c r="GI7" s="43"/>
      <c r="GJ7" s="43"/>
      <c r="GK7" s="46"/>
      <c r="GL7" s="6"/>
      <c r="GM7" s="4"/>
      <c r="GN7" s="4"/>
      <c r="GO7" s="70"/>
      <c r="GP7" s="43"/>
      <c r="GQ7" s="43"/>
      <c r="GR7" s="43"/>
      <c r="GS7" s="43"/>
      <c r="GT7" s="44" t="s">
        <v>103</v>
      </c>
      <c r="GU7" s="44" t="s">
        <v>104</v>
      </c>
      <c r="GV7" s="43"/>
      <c r="GW7" s="474">
        <f>$BD$2</f>
        <v>200</v>
      </c>
      <c r="GX7" s="44" t="s">
        <v>9</v>
      </c>
      <c r="GY7" s="94"/>
      <c r="GZ7" s="4"/>
      <c r="HA7" s="4"/>
      <c r="HB7" s="70"/>
      <c r="HC7" s="43"/>
      <c r="HD7" s="43"/>
      <c r="HE7" s="100"/>
      <c r="HF7" s="99" t="s">
        <v>105</v>
      </c>
      <c r="HG7" s="100"/>
      <c r="HH7" s="100"/>
      <c r="HI7" s="43"/>
      <c r="HJ7" s="58">
        <v>0</v>
      </c>
      <c r="HK7" s="46"/>
      <c r="HL7" s="6"/>
      <c r="HM7" s="4"/>
      <c r="HN7" s="4"/>
      <c r="HO7" s="70"/>
      <c r="HP7" s="43"/>
      <c r="HQ7" s="44" t="s">
        <v>106</v>
      </c>
      <c r="HR7" s="43"/>
      <c r="HS7" s="43"/>
      <c r="HT7" s="43"/>
      <c r="HU7" s="43"/>
      <c r="HV7" s="43"/>
      <c r="HW7" s="43"/>
      <c r="HX7" s="43"/>
      <c r="HY7" s="94"/>
      <c r="HZ7" s="4"/>
      <c r="IA7" s="70"/>
      <c r="IB7" s="59"/>
      <c r="IC7" s="44" t="s">
        <v>106</v>
      </c>
      <c r="ID7" s="43"/>
      <c r="IE7" s="43"/>
      <c r="IF7" s="43"/>
      <c r="IG7" s="43"/>
      <c r="IH7" s="43"/>
      <c r="II7" s="43"/>
      <c r="IJ7" s="43"/>
      <c r="IK7" s="94"/>
      <c r="IL7" s="11">
        <f t="shared" si="0"/>
        <v>70</v>
      </c>
      <c r="IM7" s="13">
        <f t="shared" si="1"/>
        <v>240</v>
      </c>
      <c r="IN7" s="13">
        <f t="shared" si="2"/>
        <v>0</v>
      </c>
      <c r="IO7" s="13">
        <f t="shared" si="3"/>
        <v>10.5</v>
      </c>
      <c r="IP7" s="13">
        <f t="shared" si="4"/>
        <v>0</v>
      </c>
      <c r="IQ7" s="11">
        <f t="shared" si="5"/>
        <v>41.12</v>
      </c>
      <c r="IR7" s="11">
        <f t="shared" si="6"/>
        <v>0</v>
      </c>
      <c r="IS7" s="4"/>
      <c r="IT7" s="11">
        <f t="shared" si="7"/>
        <v>0</v>
      </c>
      <c r="IU7" s="6" t="s">
        <v>28</v>
      </c>
      <c r="IV7" s="4"/>
    </row>
    <row r="8" spans="1:256" ht="13.5" thickBot="1">
      <c r="A8" s="225"/>
      <c r="B8" s="204"/>
      <c r="C8" s="24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8"/>
      <c r="P8" s="207"/>
      <c r="Q8" s="208"/>
      <c r="R8" s="209"/>
      <c r="S8" s="59"/>
      <c r="T8" s="44" t="s">
        <v>107</v>
      </c>
      <c r="U8" s="43"/>
      <c r="V8" s="43"/>
      <c r="W8" s="43"/>
      <c r="X8" s="43"/>
      <c r="Y8" s="62">
        <v>53140</v>
      </c>
      <c r="Z8" s="63">
        <f t="shared" si="8"/>
        <v>0</v>
      </c>
      <c r="AA8" s="6"/>
      <c r="AB8" s="59"/>
      <c r="AC8" s="70"/>
      <c r="AD8" s="43"/>
      <c r="AE8" s="43"/>
      <c r="AF8" s="43"/>
      <c r="AG8" s="43"/>
      <c r="AH8" s="43"/>
      <c r="AI8" s="43"/>
      <c r="AJ8" s="43"/>
      <c r="AK8" s="78"/>
      <c r="AL8" s="45"/>
      <c r="AM8" s="43"/>
      <c r="AN8" s="70"/>
      <c r="AO8" s="43"/>
      <c r="AP8" s="43"/>
      <c r="AQ8" s="43"/>
      <c r="AR8" s="43"/>
      <c r="AS8" s="43"/>
      <c r="AT8" s="43"/>
      <c r="AU8" s="43"/>
      <c r="AV8" s="43"/>
      <c r="AW8" s="94"/>
      <c r="AX8" s="46"/>
      <c r="AY8" s="43"/>
      <c r="AZ8" s="43"/>
      <c r="BA8" s="70"/>
      <c r="BB8" s="43"/>
      <c r="BC8" s="43"/>
      <c r="BD8" s="43"/>
      <c r="BE8" s="43"/>
      <c r="BF8" s="43"/>
      <c r="BG8" s="43"/>
      <c r="BH8" s="173" t="s">
        <v>108</v>
      </c>
      <c r="BI8" s="312" t="s">
        <v>109</v>
      </c>
      <c r="BJ8" s="320">
        <f>(AU11)</f>
        <v>50.12</v>
      </c>
      <c r="BK8" s="45"/>
      <c r="BL8" s="43"/>
      <c r="BM8" s="43"/>
      <c r="BN8" s="70"/>
      <c r="BO8" s="43"/>
      <c r="BP8" s="43"/>
      <c r="BQ8" s="43"/>
      <c r="BR8" s="43"/>
      <c r="BS8" s="43"/>
      <c r="BT8" s="43"/>
      <c r="BU8" s="43"/>
      <c r="BV8" s="43"/>
      <c r="BW8" s="46"/>
      <c r="BX8" s="6"/>
      <c r="BY8" s="4"/>
      <c r="BZ8" s="4"/>
      <c r="CA8" s="6"/>
      <c r="CB8" s="59"/>
      <c r="CC8" s="44" t="s">
        <v>90</v>
      </c>
      <c r="CD8" s="43"/>
      <c r="CE8" s="43"/>
      <c r="CF8" s="43"/>
      <c r="CG8" s="43"/>
      <c r="CH8" s="43"/>
      <c r="CI8" s="43"/>
      <c r="CJ8" s="46"/>
      <c r="CK8" s="6"/>
      <c r="CL8" s="4"/>
      <c r="CM8" s="4"/>
      <c r="CN8" s="6"/>
      <c r="CO8" s="59"/>
      <c r="CP8" s="44" t="s">
        <v>90</v>
      </c>
      <c r="CQ8" s="43"/>
      <c r="CR8" s="43"/>
      <c r="CS8" s="43"/>
      <c r="CT8" s="43"/>
      <c r="CU8" s="43"/>
      <c r="CV8" s="43"/>
      <c r="CW8" s="46"/>
      <c r="CX8" s="6"/>
      <c r="CY8" s="4"/>
      <c r="CZ8" s="4"/>
      <c r="DA8" s="6"/>
      <c r="DB8" s="59"/>
      <c r="DC8" s="44" t="s">
        <v>90</v>
      </c>
      <c r="DD8" s="43"/>
      <c r="DE8" s="333" t="s">
        <v>110</v>
      </c>
      <c r="DF8" s="101">
        <v>100</v>
      </c>
      <c r="DG8" s="334" t="s">
        <v>72</v>
      </c>
      <c r="DH8" s="44" t="s">
        <v>111</v>
      </c>
      <c r="DI8" s="43"/>
      <c r="DJ8" s="327">
        <v>2</v>
      </c>
      <c r="DK8" s="6"/>
      <c r="DL8" s="4"/>
      <c r="DM8" s="4"/>
      <c r="DN8" s="6"/>
      <c r="DO8" s="59"/>
      <c r="DP8" s="44" t="s">
        <v>90</v>
      </c>
      <c r="DQ8" s="43"/>
      <c r="DR8" s="333" t="s">
        <v>112</v>
      </c>
      <c r="DS8" s="101">
        <v>20</v>
      </c>
      <c r="DT8" s="334" t="s">
        <v>72</v>
      </c>
      <c r="DU8" s="128" t="s">
        <v>113</v>
      </c>
      <c r="DV8" s="43"/>
      <c r="DW8" s="345">
        <v>2</v>
      </c>
      <c r="DX8" s="45"/>
      <c r="DY8" s="43"/>
      <c r="DZ8" s="4"/>
      <c r="EA8" s="6"/>
      <c r="EB8" s="59"/>
      <c r="EC8" s="44" t="s">
        <v>90</v>
      </c>
      <c r="ED8" s="43"/>
      <c r="EE8" s="43"/>
      <c r="EF8" s="43"/>
      <c r="EG8" s="43"/>
      <c r="EH8" s="43"/>
      <c r="EI8" s="43"/>
      <c r="EJ8" s="71"/>
      <c r="EK8" s="45"/>
      <c r="EL8" s="46"/>
      <c r="EM8" s="43"/>
      <c r="EN8" s="70"/>
      <c r="EO8" s="43"/>
      <c r="EP8" s="44" t="s">
        <v>90</v>
      </c>
      <c r="EQ8" s="43"/>
      <c r="ER8" s="43"/>
      <c r="ES8" s="43"/>
      <c r="ET8" s="43"/>
      <c r="EU8" s="43"/>
      <c r="EV8" s="43"/>
      <c r="EW8" s="134"/>
      <c r="EX8" s="45"/>
      <c r="EY8" s="43"/>
      <c r="EZ8" s="43"/>
      <c r="FA8" s="43"/>
      <c r="FB8" s="70"/>
      <c r="FC8" s="43"/>
      <c r="FD8" s="44" t="s">
        <v>90</v>
      </c>
      <c r="FE8" s="43"/>
      <c r="FF8" s="43"/>
      <c r="FG8" s="43"/>
      <c r="FH8" s="43"/>
      <c r="FI8" s="43"/>
      <c r="FJ8" s="43"/>
      <c r="FK8" s="134"/>
      <c r="FL8" s="6"/>
      <c r="FM8" s="4"/>
      <c r="FN8" s="4"/>
      <c r="FO8" s="70"/>
      <c r="FP8" s="43"/>
      <c r="FQ8" s="44" t="s">
        <v>90</v>
      </c>
      <c r="FR8" s="43"/>
      <c r="FS8" s="43"/>
      <c r="FT8" s="43"/>
      <c r="FU8" s="43"/>
      <c r="FV8" s="43"/>
      <c r="FW8" s="43"/>
      <c r="FX8" s="134"/>
      <c r="FY8" s="45"/>
      <c r="FZ8" s="4"/>
      <c r="GA8" s="4"/>
      <c r="GB8" s="70"/>
      <c r="GC8" s="43"/>
      <c r="GD8" s="44" t="s">
        <v>90</v>
      </c>
      <c r="GE8" s="43"/>
      <c r="GF8" s="43"/>
      <c r="GG8" s="43"/>
      <c r="GH8" s="43"/>
      <c r="GI8" s="43"/>
      <c r="GJ8" s="43"/>
      <c r="GK8" s="134"/>
      <c r="GL8" s="6"/>
      <c r="GM8" s="4"/>
      <c r="GN8" s="4"/>
      <c r="GO8" s="70"/>
      <c r="GP8" s="43"/>
      <c r="GQ8" s="44" t="s">
        <v>90</v>
      </c>
      <c r="GR8" s="43"/>
      <c r="GS8" s="43"/>
      <c r="GT8" s="44" t="s">
        <v>114</v>
      </c>
      <c r="GU8" s="43"/>
      <c r="GV8" s="43"/>
      <c r="GW8" s="474">
        <v>8</v>
      </c>
      <c r="GX8" s="71"/>
      <c r="GY8" s="94"/>
      <c r="GZ8" s="4"/>
      <c r="HA8" s="4"/>
      <c r="HB8" s="70"/>
      <c r="HC8" s="43"/>
      <c r="HD8" s="44" t="s">
        <v>90</v>
      </c>
      <c r="HE8" s="100"/>
      <c r="HF8" s="99" t="s">
        <v>115</v>
      </c>
      <c r="HG8" s="100"/>
      <c r="HH8" s="100"/>
      <c r="HI8" s="43"/>
      <c r="HJ8" s="65">
        <v>0</v>
      </c>
      <c r="HK8" s="151" t="s">
        <v>116</v>
      </c>
      <c r="HL8" s="6"/>
      <c r="HM8" s="4"/>
      <c r="HN8" s="4"/>
      <c r="HO8" s="70"/>
      <c r="HP8" s="43"/>
      <c r="HQ8" s="44" t="s">
        <v>90</v>
      </c>
      <c r="HR8" s="43"/>
      <c r="HS8" s="43"/>
      <c r="HT8" s="43"/>
      <c r="HU8" s="43"/>
      <c r="HV8" s="43"/>
      <c r="HW8" s="43"/>
      <c r="HX8" s="43"/>
      <c r="HY8" s="94"/>
      <c r="HZ8" s="4"/>
      <c r="IA8" s="70"/>
      <c r="IB8" s="59"/>
      <c r="IC8" s="44" t="s">
        <v>90</v>
      </c>
      <c r="ID8" s="43"/>
      <c r="IE8" s="43"/>
      <c r="IF8" s="43"/>
      <c r="IG8" s="43"/>
      <c r="IH8" s="43"/>
      <c r="II8" s="43"/>
      <c r="IJ8" s="43"/>
      <c r="IK8" s="94"/>
      <c r="IL8" s="11">
        <f t="shared" si="0"/>
        <v>100</v>
      </c>
      <c r="IM8" s="13">
        <f t="shared" si="1"/>
        <v>0</v>
      </c>
      <c r="IN8" s="13">
        <f t="shared" si="2"/>
        <v>32.6</v>
      </c>
      <c r="IO8" s="13">
        <f t="shared" si="3"/>
        <v>196</v>
      </c>
      <c r="IP8" s="13">
        <f t="shared" si="4"/>
        <v>0</v>
      </c>
      <c r="IQ8" s="11">
        <f t="shared" si="5"/>
        <v>96</v>
      </c>
      <c r="IR8" s="11">
        <f t="shared" si="6"/>
        <v>52</v>
      </c>
      <c r="IS8" s="4"/>
      <c r="IT8" s="11">
        <f t="shared" si="7"/>
        <v>0</v>
      </c>
      <c r="IU8" s="6" t="s">
        <v>28</v>
      </c>
      <c r="IV8" s="4"/>
    </row>
    <row r="9" spans="1:256" ht="12.75">
      <c r="A9" s="225"/>
      <c r="B9" s="204"/>
      <c r="C9" s="24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8"/>
      <c r="P9" s="207"/>
      <c r="Q9" s="208"/>
      <c r="R9" s="209"/>
      <c r="S9" s="59"/>
      <c r="T9" s="44" t="s">
        <v>117</v>
      </c>
      <c r="U9" s="43"/>
      <c r="V9" s="43"/>
      <c r="W9" s="43"/>
      <c r="X9" s="43"/>
      <c r="Y9" s="62">
        <f>(HW97)</f>
        <v>0</v>
      </c>
      <c r="Z9" s="63">
        <f t="shared" si="8"/>
        <v>0</v>
      </c>
      <c r="AA9" s="6"/>
      <c r="AB9" s="59"/>
      <c r="AC9" s="70"/>
      <c r="AD9" s="43"/>
      <c r="AE9" s="44" t="s">
        <v>118</v>
      </c>
      <c r="AF9" s="43"/>
      <c r="AG9" s="43"/>
      <c r="AH9" s="108">
        <f>(IN55)</f>
        <v>3774.02809728</v>
      </c>
      <c r="AI9" s="386">
        <f>(BF55)</f>
        <v>0</v>
      </c>
      <c r="AJ9" s="408">
        <f>AH9+AI9</f>
        <v>3774.02809728</v>
      </c>
      <c r="AK9" s="389" t="s">
        <v>119</v>
      </c>
      <c r="AL9" s="45"/>
      <c r="AM9" s="43"/>
      <c r="AN9" s="70"/>
      <c r="AO9" s="43"/>
      <c r="AP9" s="43"/>
      <c r="AQ9" s="44" t="s">
        <v>120</v>
      </c>
      <c r="AR9" s="43"/>
      <c r="AS9" s="43"/>
      <c r="AT9" s="43"/>
      <c r="AU9" s="58">
        <f>700.67</f>
        <v>700.67</v>
      </c>
      <c r="AV9" s="43"/>
      <c r="AW9" s="94"/>
      <c r="AX9" s="46"/>
      <c r="AY9" s="43"/>
      <c r="AZ9" s="43"/>
      <c r="BA9" s="70"/>
      <c r="BB9" s="43"/>
      <c r="BC9" s="47" t="s">
        <v>121</v>
      </c>
      <c r="BD9" s="47" t="s">
        <v>122</v>
      </c>
      <c r="BE9" s="36"/>
      <c r="BF9" s="36"/>
      <c r="BG9" s="43"/>
      <c r="BH9" s="112" t="s">
        <v>123</v>
      </c>
      <c r="BI9" s="99" t="s">
        <v>124</v>
      </c>
      <c r="BJ9" s="321">
        <f>(AU13)</f>
        <v>9.52</v>
      </c>
      <c r="BK9" s="45"/>
      <c r="BL9" s="43"/>
      <c r="BM9" s="43"/>
      <c r="BN9" s="70"/>
      <c r="BO9" s="43"/>
      <c r="BP9" s="43"/>
      <c r="BQ9" s="168" t="s">
        <v>125</v>
      </c>
      <c r="BR9" s="318">
        <f>(AT52)</f>
        <v>350</v>
      </c>
      <c r="BS9" s="98" t="s">
        <v>72</v>
      </c>
      <c r="BT9" s="168" t="s">
        <v>126</v>
      </c>
      <c r="BU9" s="100"/>
      <c r="BV9" s="318">
        <f>(AT54)</f>
        <v>0</v>
      </c>
      <c r="BW9" s="170" t="s">
        <v>72</v>
      </c>
      <c r="BX9" s="6"/>
      <c r="BY9" s="4"/>
      <c r="BZ9" s="4"/>
      <c r="CA9" s="6"/>
      <c r="CB9" s="59"/>
      <c r="CC9" s="44" t="s">
        <v>106</v>
      </c>
      <c r="CD9" s="43"/>
      <c r="CE9" s="43"/>
      <c r="CF9" s="43"/>
      <c r="CG9" s="43"/>
      <c r="CH9" s="43"/>
      <c r="CI9" s="43"/>
      <c r="CJ9" s="46"/>
      <c r="CK9" s="6"/>
      <c r="CL9" s="4"/>
      <c r="CM9" s="4"/>
      <c r="CN9" s="6"/>
      <c r="CO9" s="59"/>
      <c r="CP9" s="44" t="s">
        <v>106</v>
      </c>
      <c r="CQ9" s="43"/>
      <c r="CR9" s="43"/>
      <c r="CS9" s="43"/>
      <c r="CT9" s="43"/>
      <c r="CU9" s="43"/>
      <c r="CV9" s="43"/>
      <c r="CW9" s="46"/>
      <c r="CX9" s="6"/>
      <c r="CY9" s="4"/>
      <c r="CZ9" s="4"/>
      <c r="DA9" s="6"/>
      <c r="DB9" s="59"/>
      <c r="DC9" s="44" t="s">
        <v>106</v>
      </c>
      <c r="DD9" s="43"/>
      <c r="DE9" s="335" t="s">
        <v>127</v>
      </c>
      <c r="DF9" s="336">
        <v>300</v>
      </c>
      <c r="DG9" s="337" t="s">
        <v>72</v>
      </c>
      <c r="DH9" s="43"/>
      <c r="DI9" s="43"/>
      <c r="DJ9" s="46"/>
      <c r="DK9" s="6"/>
      <c r="DL9" s="4"/>
      <c r="DM9" s="4"/>
      <c r="DN9" s="6"/>
      <c r="DO9" s="59"/>
      <c r="DP9" s="44" t="s">
        <v>106</v>
      </c>
      <c r="DQ9" s="43"/>
      <c r="DR9" s="335" t="s">
        <v>128</v>
      </c>
      <c r="DS9" s="336">
        <v>60</v>
      </c>
      <c r="DT9" s="337" t="s">
        <v>72</v>
      </c>
      <c r="DU9" s="43"/>
      <c r="DV9" s="43"/>
      <c r="DW9" s="46"/>
      <c r="DX9" s="45"/>
      <c r="DY9" s="43"/>
      <c r="DZ9" s="4"/>
      <c r="EA9" s="6"/>
      <c r="EB9" s="59"/>
      <c r="EC9" s="44" t="s">
        <v>106</v>
      </c>
      <c r="ED9" s="43"/>
      <c r="EE9" s="43"/>
      <c r="EF9" s="43"/>
      <c r="EG9" s="43"/>
      <c r="EH9" s="43"/>
      <c r="EI9" s="43"/>
      <c r="EJ9" s="43"/>
      <c r="EK9" s="45"/>
      <c r="EL9" s="46"/>
      <c r="EM9" s="43"/>
      <c r="EN9" s="70"/>
      <c r="EO9" s="43"/>
      <c r="EP9" s="44" t="s">
        <v>106</v>
      </c>
      <c r="EQ9" s="43"/>
      <c r="ER9" s="43"/>
      <c r="ES9" s="43"/>
      <c r="ET9" s="43"/>
      <c r="EU9" s="43"/>
      <c r="EV9" s="43"/>
      <c r="EW9" s="46"/>
      <c r="EX9" s="45"/>
      <c r="EY9" s="43"/>
      <c r="EZ9" s="43"/>
      <c r="FA9" s="43"/>
      <c r="FB9" s="70"/>
      <c r="FC9" s="43"/>
      <c r="FD9" s="44" t="s">
        <v>106</v>
      </c>
      <c r="FE9" s="43"/>
      <c r="FF9" s="43"/>
      <c r="FG9" s="43"/>
      <c r="FH9" s="43"/>
      <c r="FI9" s="43"/>
      <c r="FJ9" s="43"/>
      <c r="FK9" s="46"/>
      <c r="FL9" s="6"/>
      <c r="FM9" s="4"/>
      <c r="FN9" s="4"/>
      <c r="FO9" s="70"/>
      <c r="FP9" s="43"/>
      <c r="FQ9" s="44" t="s">
        <v>106</v>
      </c>
      <c r="FR9" s="43"/>
      <c r="FS9" s="43"/>
      <c r="FT9" s="43"/>
      <c r="FU9" s="43"/>
      <c r="FV9" s="43"/>
      <c r="FW9" s="43"/>
      <c r="FX9" s="46"/>
      <c r="FY9" s="45"/>
      <c r="FZ9" s="4"/>
      <c r="GA9" s="4"/>
      <c r="GB9" s="70"/>
      <c r="GC9" s="43"/>
      <c r="GD9" s="44" t="s">
        <v>106</v>
      </c>
      <c r="GE9" s="43"/>
      <c r="GF9" s="43"/>
      <c r="GG9" s="43"/>
      <c r="GH9" s="43"/>
      <c r="GI9" s="43"/>
      <c r="GJ9" s="43"/>
      <c r="GK9" s="46"/>
      <c r="GL9" s="6"/>
      <c r="GM9" s="4"/>
      <c r="GN9" s="4"/>
      <c r="GO9" s="70"/>
      <c r="GP9" s="43"/>
      <c r="GQ9" s="44" t="s">
        <v>106</v>
      </c>
      <c r="GR9" s="43"/>
      <c r="GS9" s="43"/>
      <c r="GT9" s="43"/>
      <c r="GU9" s="43"/>
      <c r="GV9" s="43"/>
      <c r="GW9" s="43"/>
      <c r="GX9" s="43"/>
      <c r="GY9" s="94"/>
      <c r="GZ9" s="4"/>
      <c r="HA9" s="4"/>
      <c r="HB9" s="70"/>
      <c r="HC9" s="43"/>
      <c r="HD9" s="44" t="s">
        <v>106</v>
      </c>
      <c r="HE9" s="100"/>
      <c r="HF9" s="99" t="s">
        <v>129</v>
      </c>
      <c r="HG9" s="100"/>
      <c r="HH9" s="100"/>
      <c r="HI9" s="43"/>
      <c r="HJ9" s="65">
        <v>1</v>
      </c>
      <c r="HK9" s="46"/>
      <c r="HL9" s="6"/>
      <c r="HM9" s="4"/>
      <c r="HN9" s="4"/>
      <c r="HO9" s="70"/>
      <c r="HP9" s="43"/>
      <c r="HQ9" s="43"/>
      <c r="HR9" s="43"/>
      <c r="HS9" s="60" t="s">
        <v>100</v>
      </c>
      <c r="HT9" s="60" t="s">
        <v>130</v>
      </c>
      <c r="HU9" s="60" t="s">
        <v>131</v>
      </c>
      <c r="HV9" s="45" t="s">
        <v>28</v>
      </c>
      <c r="HW9" s="60" t="s">
        <v>132</v>
      </c>
      <c r="HX9" s="60" t="s">
        <v>9</v>
      </c>
      <c r="HY9" s="94"/>
      <c r="HZ9" s="4"/>
      <c r="IA9" s="70"/>
      <c r="IB9" s="59"/>
      <c r="IC9" s="43"/>
      <c r="ID9" s="43"/>
      <c r="IE9" s="43"/>
      <c r="IF9" s="60" t="s">
        <v>130</v>
      </c>
      <c r="IG9" s="60" t="s">
        <v>131</v>
      </c>
      <c r="IH9" s="45" t="s">
        <v>28</v>
      </c>
      <c r="II9" s="60" t="s">
        <v>132</v>
      </c>
      <c r="IJ9" s="60" t="s">
        <v>9</v>
      </c>
      <c r="IK9" s="94"/>
      <c r="IL9" s="11">
        <f t="shared" si="0"/>
        <v>24</v>
      </c>
      <c r="IM9" s="13">
        <f t="shared" si="1"/>
        <v>0</v>
      </c>
      <c r="IN9" s="13">
        <f t="shared" si="2"/>
        <v>810</v>
      </c>
      <c r="IO9" s="13">
        <f t="shared" si="3"/>
        <v>877.1</v>
      </c>
      <c r="IP9" s="13">
        <f t="shared" si="4"/>
        <v>0</v>
      </c>
      <c r="IQ9" s="11">
        <f t="shared" si="5"/>
        <v>100</v>
      </c>
      <c r="IR9" s="11">
        <f t="shared" si="6"/>
        <v>416</v>
      </c>
      <c r="IS9" s="4"/>
      <c r="IT9" s="11">
        <f t="shared" si="7"/>
        <v>0</v>
      </c>
      <c r="IU9" s="6" t="s">
        <v>28</v>
      </c>
      <c r="IV9" s="4"/>
    </row>
    <row r="10" spans="1:256" ht="12.75">
      <c r="A10" s="225"/>
      <c r="B10" s="204"/>
      <c r="C10" s="24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8"/>
      <c r="P10" s="207"/>
      <c r="Q10" s="208"/>
      <c r="R10" s="209"/>
      <c r="S10" s="59"/>
      <c r="T10" s="44" t="s">
        <v>133</v>
      </c>
      <c r="U10" s="43"/>
      <c r="V10" s="43"/>
      <c r="W10" s="43"/>
      <c r="X10" s="43"/>
      <c r="Y10" s="62">
        <f>(HW98)</f>
        <v>0</v>
      </c>
      <c r="Z10" s="63">
        <f t="shared" si="8"/>
        <v>0</v>
      </c>
      <c r="AA10" s="6"/>
      <c r="AB10" s="59"/>
      <c r="AC10" s="70"/>
      <c r="AD10" s="43"/>
      <c r="AE10" s="43"/>
      <c r="AF10" s="43"/>
      <c r="AG10" s="43"/>
      <c r="AH10" s="108"/>
      <c r="AI10" s="386"/>
      <c r="AJ10" s="408"/>
      <c r="AK10" s="266"/>
      <c r="AL10" s="45"/>
      <c r="AM10" s="43"/>
      <c r="AN10" s="70"/>
      <c r="AO10" s="43"/>
      <c r="AP10" s="43"/>
      <c r="AQ10" s="43"/>
      <c r="AR10" s="43"/>
      <c r="AS10" s="43"/>
      <c r="AT10" s="43"/>
      <c r="AU10" s="43"/>
      <c r="AV10" s="43"/>
      <c r="AW10" s="94"/>
      <c r="AX10" s="46"/>
      <c r="AY10" s="43"/>
      <c r="AZ10" s="43"/>
      <c r="BA10" s="70"/>
      <c r="BB10" s="43"/>
      <c r="BC10" s="43"/>
      <c r="BD10" s="43"/>
      <c r="BE10" s="43"/>
      <c r="BF10" s="43"/>
      <c r="BG10" s="43"/>
      <c r="BH10" s="112" t="s">
        <v>134</v>
      </c>
      <c r="BI10" s="99" t="s">
        <v>135</v>
      </c>
      <c r="BJ10" s="321">
        <f>(AU17)</f>
        <v>2.29</v>
      </c>
      <c r="BK10" s="45"/>
      <c r="BL10" s="43"/>
      <c r="BM10" s="43"/>
      <c r="BN10" s="70"/>
      <c r="BO10" s="43"/>
      <c r="BP10" s="43"/>
      <c r="BQ10" s="168" t="s">
        <v>136</v>
      </c>
      <c r="BR10" s="325">
        <f>(AT53)</f>
        <v>200</v>
      </c>
      <c r="BS10" s="98" t="s">
        <v>72</v>
      </c>
      <c r="BT10" s="168" t="s">
        <v>137</v>
      </c>
      <c r="BU10" s="100"/>
      <c r="BV10" s="325">
        <f>(AT55)</f>
        <v>385</v>
      </c>
      <c r="BW10" s="170" t="s">
        <v>72</v>
      </c>
      <c r="BX10" s="6"/>
      <c r="BY10" s="4"/>
      <c r="BZ10" s="4"/>
      <c r="CA10" s="6"/>
      <c r="CB10" s="59"/>
      <c r="CC10" s="44" t="s">
        <v>90</v>
      </c>
      <c r="CD10" s="43"/>
      <c r="CE10" s="43"/>
      <c r="CF10" s="43"/>
      <c r="CG10" s="43"/>
      <c r="CH10" s="43"/>
      <c r="CI10" s="43"/>
      <c r="CJ10" s="46"/>
      <c r="CK10" s="6"/>
      <c r="CL10" s="4"/>
      <c r="CM10" s="4"/>
      <c r="CN10" s="6"/>
      <c r="CO10" s="59"/>
      <c r="CP10" s="44" t="s">
        <v>90</v>
      </c>
      <c r="CQ10" s="43"/>
      <c r="CR10" s="43"/>
      <c r="CS10" s="43"/>
      <c r="CT10" s="43"/>
      <c r="CU10" s="43"/>
      <c r="CV10" s="43"/>
      <c r="CW10" s="46"/>
      <c r="CX10" s="6"/>
      <c r="CY10" s="4"/>
      <c r="CZ10" s="4"/>
      <c r="DA10" s="6"/>
      <c r="DB10" s="59"/>
      <c r="DC10" s="44" t="s">
        <v>90</v>
      </c>
      <c r="DD10" s="43"/>
      <c r="DE10" s="43"/>
      <c r="DF10" s="43"/>
      <c r="DG10" s="43"/>
      <c r="DH10" s="43"/>
      <c r="DI10" s="43"/>
      <c r="DJ10" s="46"/>
      <c r="DK10" s="6"/>
      <c r="DL10" s="4"/>
      <c r="DM10" s="4"/>
      <c r="DN10" s="6"/>
      <c r="DO10" s="59"/>
      <c r="DP10" s="44" t="s">
        <v>90</v>
      </c>
      <c r="DQ10" s="43"/>
      <c r="DR10" s="43"/>
      <c r="DS10" s="43"/>
      <c r="DT10" s="43"/>
      <c r="DU10" s="43"/>
      <c r="DV10" s="43"/>
      <c r="DW10" s="46"/>
      <c r="DX10" s="45"/>
      <c r="DY10" s="43"/>
      <c r="DZ10" s="4"/>
      <c r="EA10" s="6"/>
      <c r="EB10" s="59"/>
      <c r="EC10" s="44" t="s">
        <v>90</v>
      </c>
      <c r="ED10" s="43"/>
      <c r="EE10" s="43"/>
      <c r="EF10" s="43"/>
      <c r="EG10" s="43"/>
      <c r="EH10" s="43"/>
      <c r="EI10" s="43"/>
      <c r="EJ10" s="43"/>
      <c r="EK10" s="45"/>
      <c r="EL10" s="46"/>
      <c r="EM10" s="43"/>
      <c r="EN10" s="70"/>
      <c r="EO10" s="43"/>
      <c r="EP10" s="44" t="s">
        <v>90</v>
      </c>
      <c r="EQ10" s="43"/>
      <c r="ER10" s="43"/>
      <c r="ES10" s="43"/>
      <c r="ET10" s="43"/>
      <c r="EU10" s="43"/>
      <c r="EV10" s="43"/>
      <c r="EW10" s="46"/>
      <c r="EX10" s="45"/>
      <c r="EY10" s="43"/>
      <c r="EZ10" s="43"/>
      <c r="FA10" s="43"/>
      <c r="FB10" s="70"/>
      <c r="FC10" s="43"/>
      <c r="FD10" s="44" t="s">
        <v>90</v>
      </c>
      <c r="FE10" s="43"/>
      <c r="FF10" s="43"/>
      <c r="FG10" s="43"/>
      <c r="FH10" s="43"/>
      <c r="FI10" s="43"/>
      <c r="FJ10" s="43"/>
      <c r="FK10" s="46"/>
      <c r="FL10" s="6"/>
      <c r="FM10" s="4"/>
      <c r="FN10" s="4"/>
      <c r="FO10" s="70"/>
      <c r="FP10" s="43"/>
      <c r="FQ10" s="44" t="s">
        <v>90</v>
      </c>
      <c r="FR10" s="43"/>
      <c r="FS10" s="43"/>
      <c r="FT10" s="43"/>
      <c r="FU10" s="43"/>
      <c r="FV10" s="43"/>
      <c r="FW10" s="43"/>
      <c r="FX10" s="46"/>
      <c r="FY10" s="45"/>
      <c r="FZ10" s="4"/>
      <c r="GA10" s="4"/>
      <c r="GB10" s="70"/>
      <c r="GC10" s="43"/>
      <c r="GD10" s="44" t="s">
        <v>90</v>
      </c>
      <c r="GE10" s="43"/>
      <c r="GF10" s="43"/>
      <c r="GG10" s="43"/>
      <c r="GH10" s="43"/>
      <c r="GI10" s="43"/>
      <c r="GJ10" s="43"/>
      <c r="GK10" s="46"/>
      <c r="GL10" s="6"/>
      <c r="GM10" s="4"/>
      <c r="GN10" s="4"/>
      <c r="GO10" s="70"/>
      <c r="GP10" s="43"/>
      <c r="GQ10" s="44" t="s">
        <v>90</v>
      </c>
      <c r="GR10" s="43"/>
      <c r="GS10" s="43"/>
      <c r="GT10" s="43"/>
      <c r="GU10" s="43"/>
      <c r="GV10" s="43"/>
      <c r="GW10" s="43"/>
      <c r="GX10" s="43"/>
      <c r="GY10" s="94"/>
      <c r="GZ10" s="4"/>
      <c r="HA10" s="4"/>
      <c r="HB10" s="70"/>
      <c r="HC10" s="43"/>
      <c r="HD10" s="44" t="s">
        <v>90</v>
      </c>
      <c r="HE10" s="43"/>
      <c r="HF10" s="43"/>
      <c r="HG10" s="43"/>
      <c r="HH10" s="43"/>
      <c r="HI10" s="43"/>
      <c r="HJ10" s="43"/>
      <c r="HK10" s="46"/>
      <c r="HL10" s="6"/>
      <c r="HM10" s="4"/>
      <c r="HN10" s="4"/>
      <c r="HO10" s="70"/>
      <c r="HP10" s="43"/>
      <c r="HQ10" s="60" t="s">
        <v>138</v>
      </c>
      <c r="HR10" s="43"/>
      <c r="HS10" s="43"/>
      <c r="HT10" s="43"/>
      <c r="HU10" s="44" t="s">
        <v>139</v>
      </c>
      <c r="HV10" s="45" t="s">
        <v>28</v>
      </c>
      <c r="HW10" s="44" t="s">
        <v>140</v>
      </c>
      <c r="HX10" s="43"/>
      <c r="HY10" s="94"/>
      <c r="HZ10" s="4"/>
      <c r="IA10" s="70"/>
      <c r="IB10" s="59"/>
      <c r="IC10" s="60" t="s">
        <v>138</v>
      </c>
      <c r="ID10" s="43"/>
      <c r="IE10" s="43"/>
      <c r="IF10" s="43"/>
      <c r="IG10" s="44" t="s">
        <v>139</v>
      </c>
      <c r="IH10" s="45" t="s">
        <v>28</v>
      </c>
      <c r="II10" s="44" t="s">
        <v>140</v>
      </c>
      <c r="IJ10" s="43"/>
      <c r="IK10" s="94"/>
      <c r="IL10" s="11">
        <f t="shared" si="0"/>
        <v>210</v>
      </c>
      <c r="IM10" s="13">
        <f t="shared" si="1"/>
        <v>360</v>
      </c>
      <c r="IN10" s="13">
        <f t="shared" si="2"/>
        <v>0</v>
      </c>
      <c r="IO10" s="13"/>
      <c r="IP10" s="13">
        <f t="shared" si="4"/>
        <v>0</v>
      </c>
      <c r="IQ10" s="11">
        <f t="shared" si="5"/>
        <v>0</v>
      </c>
      <c r="IR10" s="11">
        <f t="shared" si="6"/>
        <v>0</v>
      </c>
      <c r="IS10" s="4"/>
      <c r="IT10" s="11">
        <f t="shared" si="7"/>
        <v>0</v>
      </c>
      <c r="IU10" s="6" t="s">
        <v>28</v>
      </c>
      <c r="IV10" s="4"/>
    </row>
    <row r="11" spans="1:256" ht="13.5" thickBot="1">
      <c r="A11" s="225"/>
      <c r="B11" s="204"/>
      <c r="C11" s="24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8"/>
      <c r="P11" s="207"/>
      <c r="Q11" s="208"/>
      <c r="R11" s="209"/>
      <c r="S11" s="59"/>
      <c r="T11" s="44" t="s">
        <v>141</v>
      </c>
      <c r="U11" s="43"/>
      <c r="V11" s="43"/>
      <c r="W11" s="43"/>
      <c r="X11" s="43"/>
      <c r="Y11" s="62">
        <f>(HW99)</f>
        <v>0</v>
      </c>
      <c r="Z11" s="63">
        <f t="shared" si="8"/>
        <v>0</v>
      </c>
      <c r="AA11" s="6"/>
      <c r="AB11" s="59"/>
      <c r="AC11" s="70"/>
      <c r="AD11" s="43"/>
      <c r="AE11" s="44" t="s">
        <v>142</v>
      </c>
      <c r="AF11" s="43"/>
      <c r="AG11" s="43"/>
      <c r="AH11" s="108">
        <f>(IO55)</f>
        <v>3392.2290000000003</v>
      </c>
      <c r="AI11" s="386">
        <f>(BS55)</f>
        <v>0</v>
      </c>
      <c r="AJ11" s="408">
        <f>AH11+AI11</f>
        <v>3392.2290000000003</v>
      </c>
      <c r="AK11" s="389" t="s">
        <v>143</v>
      </c>
      <c r="AL11" s="45"/>
      <c r="AM11" s="43"/>
      <c r="AN11" s="70"/>
      <c r="AO11" s="43"/>
      <c r="AP11" s="43"/>
      <c r="AQ11" s="44" t="s">
        <v>144</v>
      </c>
      <c r="AR11" s="43"/>
      <c r="AS11" s="43"/>
      <c r="AT11" s="43"/>
      <c r="AU11" s="58">
        <f>50.12</f>
        <v>50.12</v>
      </c>
      <c r="AV11" s="43"/>
      <c r="AW11" s="94"/>
      <c r="AX11" s="46"/>
      <c r="AY11" s="43"/>
      <c r="AZ11" s="43"/>
      <c r="BA11" s="70"/>
      <c r="BB11" s="43"/>
      <c r="BC11" s="44" t="s">
        <v>145</v>
      </c>
      <c r="BD11" s="44" t="s">
        <v>146</v>
      </c>
      <c r="BE11" s="43"/>
      <c r="BF11" s="43"/>
      <c r="BG11" s="43"/>
      <c r="BH11" s="313" t="s">
        <v>147</v>
      </c>
      <c r="BI11" s="314" t="s">
        <v>148</v>
      </c>
      <c r="BJ11" s="322">
        <v>0.012</v>
      </c>
      <c r="BK11" s="45"/>
      <c r="BL11" s="43"/>
      <c r="BM11" s="43"/>
      <c r="BN11" s="70"/>
      <c r="BO11" s="43"/>
      <c r="BP11" s="43"/>
      <c r="BQ11" s="43"/>
      <c r="BR11" s="43"/>
      <c r="BS11" s="43"/>
      <c r="BT11" s="43"/>
      <c r="BU11" s="43"/>
      <c r="BV11" s="43"/>
      <c r="BW11" s="46"/>
      <c r="BX11" s="6"/>
      <c r="BY11" s="4"/>
      <c r="BZ11" s="4"/>
      <c r="CA11" s="6"/>
      <c r="CB11" s="59"/>
      <c r="CC11" s="43"/>
      <c r="CD11" s="43"/>
      <c r="CE11" s="60" t="s">
        <v>100</v>
      </c>
      <c r="CF11" s="44" t="s">
        <v>0</v>
      </c>
      <c r="CG11" s="60" t="s">
        <v>131</v>
      </c>
      <c r="CH11" s="45" t="s">
        <v>28</v>
      </c>
      <c r="CI11" s="60" t="s">
        <v>132</v>
      </c>
      <c r="CJ11" s="61" t="s">
        <v>9</v>
      </c>
      <c r="CK11" s="6"/>
      <c r="CL11" s="11">
        <f>15000/127</f>
        <v>118.11023622047244</v>
      </c>
      <c r="CM11" s="4"/>
      <c r="CN11" s="6"/>
      <c r="CO11" s="59"/>
      <c r="CP11" s="43"/>
      <c r="CQ11" s="43"/>
      <c r="CR11" s="60" t="s">
        <v>100</v>
      </c>
      <c r="CS11" s="43"/>
      <c r="CT11" s="60" t="s">
        <v>131</v>
      </c>
      <c r="CU11" s="45" t="s">
        <v>28</v>
      </c>
      <c r="CV11" s="60" t="s">
        <v>132</v>
      </c>
      <c r="CW11" s="61" t="s">
        <v>9</v>
      </c>
      <c r="CX11" s="6"/>
      <c r="CY11" s="4"/>
      <c r="CZ11" s="4"/>
      <c r="DA11" s="6"/>
      <c r="DB11" s="59"/>
      <c r="DC11" s="43"/>
      <c r="DD11" s="43"/>
      <c r="DE11" s="60" t="s">
        <v>100</v>
      </c>
      <c r="DF11" s="60" t="s">
        <v>130</v>
      </c>
      <c r="DG11" s="60" t="s">
        <v>131</v>
      </c>
      <c r="DH11" s="45" t="s">
        <v>28</v>
      </c>
      <c r="DI11" s="60" t="s">
        <v>132</v>
      </c>
      <c r="DJ11" s="61" t="s">
        <v>9</v>
      </c>
      <c r="DK11" s="6"/>
      <c r="DL11" s="4"/>
      <c r="DM11" s="4"/>
      <c r="DN11" s="6"/>
      <c r="DO11" s="59"/>
      <c r="DP11" s="43"/>
      <c r="DQ11" s="43"/>
      <c r="DR11" s="60" t="s">
        <v>100</v>
      </c>
      <c r="DS11" s="60" t="s">
        <v>130</v>
      </c>
      <c r="DT11" s="60" t="s">
        <v>131</v>
      </c>
      <c r="DU11" s="45" t="s">
        <v>28</v>
      </c>
      <c r="DV11" s="60" t="s">
        <v>132</v>
      </c>
      <c r="DW11" s="61" t="s">
        <v>9</v>
      </c>
      <c r="DX11" s="45"/>
      <c r="DY11" s="43"/>
      <c r="DZ11" s="4"/>
      <c r="EA11" s="6"/>
      <c r="EB11" s="59"/>
      <c r="EC11" s="43"/>
      <c r="ED11" s="43"/>
      <c r="EE11" s="60" t="s">
        <v>100</v>
      </c>
      <c r="EF11" s="60" t="s">
        <v>130</v>
      </c>
      <c r="EG11" s="60" t="s">
        <v>131</v>
      </c>
      <c r="EH11" s="45"/>
      <c r="EI11" s="60" t="s">
        <v>132</v>
      </c>
      <c r="EJ11" s="60" t="s">
        <v>9</v>
      </c>
      <c r="EK11" s="45"/>
      <c r="EL11" s="46"/>
      <c r="EM11" s="43"/>
      <c r="EN11" s="70"/>
      <c r="EO11" s="43"/>
      <c r="EP11" s="43"/>
      <c r="EQ11" s="43"/>
      <c r="ER11" s="60" t="s">
        <v>100</v>
      </c>
      <c r="ES11" s="60" t="s">
        <v>130</v>
      </c>
      <c r="ET11" s="60" t="s">
        <v>131</v>
      </c>
      <c r="EU11" s="45" t="s">
        <v>28</v>
      </c>
      <c r="EV11" s="60" t="s">
        <v>132</v>
      </c>
      <c r="EW11" s="61" t="s">
        <v>9</v>
      </c>
      <c r="EX11" s="45"/>
      <c r="EY11" s="43"/>
      <c r="EZ11" s="43"/>
      <c r="FA11" s="43"/>
      <c r="FB11" s="70"/>
      <c r="FC11" s="43"/>
      <c r="FD11" s="43"/>
      <c r="FE11" s="43"/>
      <c r="FF11" s="60" t="s">
        <v>100</v>
      </c>
      <c r="FG11" s="60" t="s">
        <v>130</v>
      </c>
      <c r="FH11" s="60" t="s">
        <v>131</v>
      </c>
      <c r="FI11" s="45" t="s">
        <v>28</v>
      </c>
      <c r="FJ11" s="60" t="s">
        <v>132</v>
      </c>
      <c r="FK11" s="61" t="s">
        <v>9</v>
      </c>
      <c r="FL11" s="6"/>
      <c r="FM11" s="4"/>
      <c r="FN11" s="4"/>
      <c r="FO11" s="70"/>
      <c r="FP11" s="43"/>
      <c r="FQ11" s="43"/>
      <c r="FR11" s="43"/>
      <c r="FS11" s="60" t="s">
        <v>100</v>
      </c>
      <c r="FT11" s="60" t="s">
        <v>130</v>
      </c>
      <c r="FU11" s="60" t="s">
        <v>131</v>
      </c>
      <c r="FV11" s="45" t="s">
        <v>28</v>
      </c>
      <c r="FW11" s="60" t="s">
        <v>132</v>
      </c>
      <c r="FX11" s="61" t="s">
        <v>9</v>
      </c>
      <c r="FY11" s="45"/>
      <c r="FZ11" s="4"/>
      <c r="GA11" s="4"/>
      <c r="GB11" s="70"/>
      <c r="GC11" s="43"/>
      <c r="GD11" s="43"/>
      <c r="GE11" s="43"/>
      <c r="GF11" s="60" t="s">
        <v>100</v>
      </c>
      <c r="GG11" s="60" t="s">
        <v>130</v>
      </c>
      <c r="GH11" s="60" t="s">
        <v>131</v>
      </c>
      <c r="GI11" s="45" t="s">
        <v>28</v>
      </c>
      <c r="GJ11" s="60" t="s">
        <v>132</v>
      </c>
      <c r="GK11" s="61" t="s">
        <v>9</v>
      </c>
      <c r="GL11" s="6"/>
      <c r="GM11" s="4"/>
      <c r="GN11" s="4"/>
      <c r="GO11" s="70"/>
      <c r="GP11" s="43"/>
      <c r="GQ11" s="43"/>
      <c r="GR11" s="43"/>
      <c r="GS11" s="60" t="s">
        <v>149</v>
      </c>
      <c r="GT11" s="60" t="s">
        <v>108</v>
      </c>
      <c r="GU11" s="60" t="s">
        <v>150</v>
      </c>
      <c r="GV11" s="45" t="s">
        <v>28</v>
      </c>
      <c r="GW11" s="60" t="s">
        <v>132</v>
      </c>
      <c r="GX11" s="60" t="s">
        <v>9</v>
      </c>
      <c r="GY11" s="94"/>
      <c r="GZ11" s="4"/>
      <c r="HA11" s="4"/>
      <c r="HB11" s="70"/>
      <c r="HC11" s="43"/>
      <c r="HD11" s="43"/>
      <c r="HE11" s="43"/>
      <c r="HF11" s="44" t="s">
        <v>151</v>
      </c>
      <c r="HG11" s="44" t="s">
        <v>152</v>
      </c>
      <c r="HH11" s="44" t="s">
        <v>153</v>
      </c>
      <c r="HI11" s="45" t="s">
        <v>28</v>
      </c>
      <c r="HJ11" s="60" t="s">
        <v>132</v>
      </c>
      <c r="HK11" s="61" t="s">
        <v>9</v>
      </c>
      <c r="HL11" s="6"/>
      <c r="HM11" s="4"/>
      <c r="HN11" s="4"/>
      <c r="HO11" s="70"/>
      <c r="HP11" s="43"/>
      <c r="HQ11" s="43"/>
      <c r="HR11" s="43"/>
      <c r="HS11" s="43"/>
      <c r="HT11" s="43"/>
      <c r="HU11" s="43"/>
      <c r="HV11" s="45" t="s">
        <v>28</v>
      </c>
      <c r="HW11" s="43"/>
      <c r="HX11" s="43"/>
      <c r="HY11" s="94"/>
      <c r="HZ11" s="4"/>
      <c r="IA11" s="70"/>
      <c r="IB11" s="59"/>
      <c r="IC11" s="43"/>
      <c r="ID11" s="43"/>
      <c r="IE11" s="43"/>
      <c r="IF11" s="43"/>
      <c r="IG11" s="43"/>
      <c r="IH11" s="45" t="s">
        <v>28</v>
      </c>
      <c r="II11" s="43"/>
      <c r="IJ11" s="43"/>
      <c r="IK11" s="94"/>
      <c r="IL11" s="11">
        <f t="shared" si="0"/>
        <v>270</v>
      </c>
      <c r="IM11" s="13">
        <f t="shared" si="1"/>
        <v>360</v>
      </c>
      <c r="IN11" s="13">
        <f t="shared" si="2"/>
        <v>20</v>
      </c>
      <c r="IO11" s="13"/>
      <c r="IP11" s="13">
        <f t="shared" si="4"/>
        <v>0</v>
      </c>
      <c r="IQ11" s="11">
        <f t="shared" si="5"/>
        <v>0</v>
      </c>
      <c r="IR11" s="11">
        <f t="shared" si="6"/>
        <v>0</v>
      </c>
      <c r="IS11" s="4"/>
      <c r="IT11" s="4"/>
      <c r="IU11" s="6" t="s">
        <v>28</v>
      </c>
      <c r="IV11" s="4"/>
    </row>
    <row r="12" spans="1:256" ht="13.5" thickBot="1">
      <c r="A12" s="225"/>
      <c r="B12" s="204"/>
      <c r="C12" s="24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8"/>
      <c r="P12" s="207"/>
      <c r="Q12" s="208"/>
      <c r="R12" s="209"/>
      <c r="S12" s="59"/>
      <c r="T12" s="44" t="s">
        <v>154</v>
      </c>
      <c r="U12" s="43"/>
      <c r="V12" s="43"/>
      <c r="W12" s="43"/>
      <c r="X12" s="43"/>
      <c r="Y12" s="62">
        <v>0</v>
      </c>
      <c r="Z12" s="63">
        <f t="shared" si="8"/>
        <v>0</v>
      </c>
      <c r="AA12" s="6"/>
      <c r="AB12" s="59"/>
      <c r="AC12" s="70"/>
      <c r="AD12" s="43"/>
      <c r="AE12" s="43"/>
      <c r="AF12" s="43"/>
      <c r="AG12" s="43"/>
      <c r="AH12" s="108"/>
      <c r="AI12" s="386"/>
      <c r="AJ12" s="408"/>
      <c r="AK12" s="266"/>
      <c r="AL12" s="45"/>
      <c r="AM12" s="43"/>
      <c r="AN12" s="70"/>
      <c r="AO12" s="43"/>
      <c r="AP12" s="43"/>
      <c r="AQ12" s="43"/>
      <c r="AR12" s="43"/>
      <c r="AS12" s="43"/>
      <c r="AT12" s="43"/>
      <c r="AU12" s="43"/>
      <c r="AV12" s="43"/>
      <c r="AW12" s="94"/>
      <c r="AX12" s="46"/>
      <c r="AY12" s="43"/>
      <c r="AZ12" s="43"/>
      <c r="BA12" s="70"/>
      <c r="BB12" s="43"/>
      <c r="BC12" s="43"/>
      <c r="BD12" s="43"/>
      <c r="BE12" s="43"/>
      <c r="BF12" s="43"/>
      <c r="BG12" s="43"/>
      <c r="BH12" s="43"/>
      <c r="BI12" s="43"/>
      <c r="BJ12" s="46"/>
      <c r="BK12" s="45"/>
      <c r="BL12" s="43"/>
      <c r="BM12" s="43"/>
      <c r="BN12" s="70"/>
      <c r="BO12" s="43"/>
      <c r="BP12" s="43"/>
      <c r="BQ12" s="43"/>
      <c r="BR12" s="44" t="s">
        <v>85</v>
      </c>
      <c r="BS12" s="43"/>
      <c r="BT12" s="327">
        <v>2.5</v>
      </c>
      <c r="BU12" s="44" t="s">
        <v>155</v>
      </c>
      <c r="BV12" s="43"/>
      <c r="BW12" s="46"/>
      <c r="BX12" s="6"/>
      <c r="BY12" s="4"/>
      <c r="BZ12" s="4"/>
      <c r="CA12" s="6"/>
      <c r="CB12" s="59"/>
      <c r="CC12" s="60" t="s">
        <v>138</v>
      </c>
      <c r="CD12" s="43"/>
      <c r="CE12" s="43"/>
      <c r="CF12" s="43"/>
      <c r="CG12" s="44" t="s">
        <v>139</v>
      </c>
      <c r="CH12" s="45" t="s">
        <v>28</v>
      </c>
      <c r="CI12" s="44" t="s">
        <v>140</v>
      </c>
      <c r="CJ12" s="46"/>
      <c r="CK12" s="6"/>
      <c r="CL12" s="4"/>
      <c r="CM12" s="4"/>
      <c r="CN12" s="6"/>
      <c r="CO12" s="59"/>
      <c r="CP12" s="60" t="s">
        <v>138</v>
      </c>
      <c r="CQ12" s="43"/>
      <c r="CR12" s="43"/>
      <c r="CS12" s="43"/>
      <c r="CT12" s="44" t="s">
        <v>139</v>
      </c>
      <c r="CU12" s="45" t="s">
        <v>28</v>
      </c>
      <c r="CV12" s="44" t="s">
        <v>140</v>
      </c>
      <c r="CW12" s="46"/>
      <c r="CX12" s="6"/>
      <c r="CY12" s="4"/>
      <c r="CZ12" s="4"/>
      <c r="DA12" s="6"/>
      <c r="DB12" s="59"/>
      <c r="DC12" s="60" t="s">
        <v>138</v>
      </c>
      <c r="DD12" s="43"/>
      <c r="DE12" s="43"/>
      <c r="DF12" s="43"/>
      <c r="DG12" s="44" t="s">
        <v>139</v>
      </c>
      <c r="DH12" s="45" t="s">
        <v>28</v>
      </c>
      <c r="DI12" s="44" t="s">
        <v>140</v>
      </c>
      <c r="DJ12" s="46"/>
      <c r="DK12" s="6"/>
      <c r="DL12" s="4"/>
      <c r="DM12" s="4"/>
      <c r="DN12" s="6"/>
      <c r="DO12" s="59"/>
      <c r="DP12" s="60" t="s">
        <v>138</v>
      </c>
      <c r="DQ12" s="43"/>
      <c r="DR12" s="43"/>
      <c r="DS12" s="43"/>
      <c r="DT12" s="44" t="s">
        <v>139</v>
      </c>
      <c r="DU12" s="45" t="s">
        <v>28</v>
      </c>
      <c r="DV12" s="44" t="s">
        <v>140</v>
      </c>
      <c r="DW12" s="46"/>
      <c r="DX12" s="45"/>
      <c r="DY12" s="43"/>
      <c r="DZ12" s="4"/>
      <c r="EA12" s="6"/>
      <c r="EB12" s="59"/>
      <c r="EC12" s="60" t="s">
        <v>138</v>
      </c>
      <c r="ED12" s="43"/>
      <c r="EE12" s="43"/>
      <c r="EF12" s="43"/>
      <c r="EG12" s="44" t="s">
        <v>139</v>
      </c>
      <c r="EH12" s="45"/>
      <c r="EI12" s="44" t="s">
        <v>140</v>
      </c>
      <c r="EJ12" s="43"/>
      <c r="EK12" s="45"/>
      <c r="EL12" s="46"/>
      <c r="EM12" s="43"/>
      <c r="EN12" s="70"/>
      <c r="EO12" s="43"/>
      <c r="EP12" s="60" t="s">
        <v>138</v>
      </c>
      <c r="EQ12" s="43"/>
      <c r="ER12" s="43"/>
      <c r="ES12" s="43"/>
      <c r="ET12" s="44" t="s">
        <v>139</v>
      </c>
      <c r="EU12" s="45" t="s">
        <v>28</v>
      </c>
      <c r="EV12" s="44" t="s">
        <v>140</v>
      </c>
      <c r="EW12" s="46"/>
      <c r="EX12" s="45"/>
      <c r="EY12" s="43"/>
      <c r="EZ12" s="43"/>
      <c r="FA12" s="43"/>
      <c r="FB12" s="70"/>
      <c r="FC12" s="43"/>
      <c r="FD12" s="60" t="s">
        <v>138</v>
      </c>
      <c r="FE12" s="43"/>
      <c r="FF12" s="43"/>
      <c r="FG12" s="43"/>
      <c r="FH12" s="44" t="s">
        <v>139</v>
      </c>
      <c r="FI12" s="45" t="s">
        <v>28</v>
      </c>
      <c r="FJ12" s="44" t="s">
        <v>140</v>
      </c>
      <c r="FK12" s="46"/>
      <c r="FL12" s="6"/>
      <c r="FM12" s="4"/>
      <c r="FN12" s="4"/>
      <c r="FO12" s="70"/>
      <c r="FP12" s="43"/>
      <c r="FQ12" s="60" t="s">
        <v>138</v>
      </c>
      <c r="FR12" s="43"/>
      <c r="FS12" s="43"/>
      <c r="FT12" s="43"/>
      <c r="FU12" s="44" t="s">
        <v>139</v>
      </c>
      <c r="FV12" s="45" t="s">
        <v>28</v>
      </c>
      <c r="FW12" s="44" t="s">
        <v>140</v>
      </c>
      <c r="FX12" s="46"/>
      <c r="FY12" s="45"/>
      <c r="FZ12" s="4"/>
      <c r="GA12" s="4"/>
      <c r="GB12" s="70"/>
      <c r="GC12" s="43"/>
      <c r="GD12" s="60" t="s">
        <v>138</v>
      </c>
      <c r="GE12" s="43"/>
      <c r="GF12" s="43"/>
      <c r="GG12" s="43"/>
      <c r="GH12" s="44" t="s">
        <v>139</v>
      </c>
      <c r="GI12" s="45" t="s">
        <v>28</v>
      </c>
      <c r="GJ12" s="44" t="s">
        <v>140</v>
      </c>
      <c r="GK12" s="46"/>
      <c r="GL12" s="6"/>
      <c r="GM12" s="4"/>
      <c r="GN12" s="4"/>
      <c r="GO12" s="70"/>
      <c r="GP12" s="43"/>
      <c r="GQ12" s="60" t="s">
        <v>138</v>
      </c>
      <c r="GR12" s="43"/>
      <c r="GS12" s="43"/>
      <c r="GT12" s="43"/>
      <c r="GU12" s="43"/>
      <c r="GV12" s="45" t="s">
        <v>28</v>
      </c>
      <c r="GW12" s="44" t="s">
        <v>140</v>
      </c>
      <c r="GX12" s="43"/>
      <c r="GY12" s="94"/>
      <c r="GZ12" s="4"/>
      <c r="HA12" s="4"/>
      <c r="HB12" s="70"/>
      <c r="HC12" s="43"/>
      <c r="HD12" s="60" t="s">
        <v>138</v>
      </c>
      <c r="HE12" s="43"/>
      <c r="HF12" s="43"/>
      <c r="HG12" s="60" t="s">
        <v>156</v>
      </c>
      <c r="HH12" s="44" t="s">
        <v>157</v>
      </c>
      <c r="HI12" s="45" t="s">
        <v>28</v>
      </c>
      <c r="HJ12" s="44" t="s">
        <v>140</v>
      </c>
      <c r="HK12" s="46"/>
      <c r="HL12" s="6"/>
      <c r="HM12" s="4"/>
      <c r="HN12" s="4"/>
      <c r="HO12" s="70"/>
      <c r="HP12" s="47" t="s">
        <v>158</v>
      </c>
      <c r="HQ12" s="43"/>
      <c r="HR12" s="65"/>
      <c r="HS12" s="43"/>
      <c r="HT12" s="43"/>
      <c r="HU12" s="43"/>
      <c r="HV12" s="45" t="s">
        <v>28</v>
      </c>
      <c r="HW12" s="43"/>
      <c r="HX12" s="43"/>
      <c r="HY12" s="94"/>
      <c r="HZ12" s="4"/>
      <c r="IA12" s="70"/>
      <c r="IB12" s="38" t="s">
        <v>159</v>
      </c>
      <c r="IC12" s="43"/>
      <c r="ID12" s="65"/>
      <c r="IE12" s="43"/>
      <c r="IF12" s="43"/>
      <c r="IG12" s="43"/>
      <c r="IH12" s="45" t="s">
        <v>28</v>
      </c>
      <c r="II12" s="43"/>
      <c r="IJ12" s="43"/>
      <c r="IK12" s="94"/>
      <c r="IL12" s="11">
        <f t="shared" si="0"/>
        <v>90</v>
      </c>
      <c r="IM12" s="13">
        <f t="shared" si="1"/>
        <v>0</v>
      </c>
      <c r="IN12" s="13">
        <f t="shared" si="2"/>
        <v>9.9</v>
      </c>
      <c r="IO12" s="13">
        <f aca="true" t="shared" si="9" ref="IO12:IO18">IF((BM28)=1,0,(BV28))</f>
        <v>15.4</v>
      </c>
      <c r="IP12" s="13">
        <f t="shared" si="4"/>
        <v>0</v>
      </c>
      <c r="IQ12" s="11">
        <f t="shared" si="5"/>
        <v>174.8</v>
      </c>
      <c r="IR12" s="11">
        <f t="shared" si="6"/>
        <v>67.5</v>
      </c>
      <c r="IS12" s="4"/>
      <c r="IT12" s="4"/>
      <c r="IU12" s="6" t="s">
        <v>28</v>
      </c>
      <c r="IV12" s="4"/>
    </row>
    <row r="13" spans="1:256" ht="13.5" thickBot="1">
      <c r="A13" s="225"/>
      <c r="B13" s="204"/>
      <c r="C13" s="245"/>
      <c r="D13" s="205"/>
      <c r="E13" s="211"/>
      <c r="F13" s="205"/>
      <c r="G13" s="205"/>
      <c r="H13" s="205"/>
      <c r="I13" s="205"/>
      <c r="J13" s="205"/>
      <c r="K13" s="205"/>
      <c r="L13" s="205"/>
      <c r="M13" s="205"/>
      <c r="N13" s="205"/>
      <c r="O13" s="271"/>
      <c r="P13" s="243"/>
      <c r="Q13" s="208"/>
      <c r="R13" s="209"/>
      <c r="S13" s="59"/>
      <c r="T13" s="43"/>
      <c r="U13" s="43"/>
      <c r="V13" s="43"/>
      <c r="W13" s="43"/>
      <c r="X13" s="43"/>
      <c r="Y13" s="43"/>
      <c r="Z13" s="64"/>
      <c r="AA13" s="6"/>
      <c r="AB13" s="59"/>
      <c r="AC13" s="70"/>
      <c r="AD13" s="43"/>
      <c r="AE13" s="45" t="s">
        <v>160</v>
      </c>
      <c r="AF13" s="43"/>
      <c r="AG13" s="43"/>
      <c r="AH13" s="108">
        <f>(IP55)</f>
        <v>1401.4599999999998</v>
      </c>
      <c r="AI13" s="386">
        <f>(CF55)</f>
        <v>0</v>
      </c>
      <c r="AJ13" s="408">
        <f>AH13+AI13</f>
        <v>1401.4599999999998</v>
      </c>
      <c r="AK13" s="389" t="s">
        <v>161</v>
      </c>
      <c r="AL13" s="45"/>
      <c r="AM13" s="43"/>
      <c r="AN13" s="70"/>
      <c r="AO13" s="43"/>
      <c r="AP13" s="43"/>
      <c r="AQ13" s="44" t="s">
        <v>162</v>
      </c>
      <c r="AR13" s="43"/>
      <c r="AS13" s="43"/>
      <c r="AT13" s="43"/>
      <c r="AU13" s="58">
        <f>9.52</f>
        <v>9.52</v>
      </c>
      <c r="AV13" s="43"/>
      <c r="AW13" s="94"/>
      <c r="AX13" s="46"/>
      <c r="AY13" s="43"/>
      <c r="AZ13" s="43"/>
      <c r="BA13" s="70"/>
      <c r="BB13" s="43"/>
      <c r="BC13" s="44" t="s">
        <v>90</v>
      </c>
      <c r="BD13" s="43"/>
      <c r="BE13" s="43"/>
      <c r="BF13" s="43"/>
      <c r="BG13" s="44" t="s">
        <v>163</v>
      </c>
      <c r="BH13" s="43"/>
      <c r="BI13" s="579">
        <f>(BJ8*BJ9*BJ10)</f>
        <v>1092.656096</v>
      </c>
      <c r="BJ13" s="46"/>
      <c r="BK13" s="45"/>
      <c r="BL13" s="43"/>
      <c r="BM13" s="43"/>
      <c r="BN13" s="70"/>
      <c r="BO13" s="43"/>
      <c r="BP13" s="44" t="s">
        <v>90</v>
      </c>
      <c r="BQ13" s="43"/>
      <c r="BR13" s="43"/>
      <c r="BS13" s="43"/>
      <c r="BT13" s="43"/>
      <c r="BU13" s="43"/>
      <c r="BV13" s="43"/>
      <c r="BW13" s="46"/>
      <c r="BX13" s="6"/>
      <c r="BY13" s="4"/>
      <c r="BZ13" s="4"/>
      <c r="CA13" s="6"/>
      <c r="CB13" s="38" t="s">
        <v>164</v>
      </c>
      <c r="CC13" s="36"/>
      <c r="CD13" s="43"/>
      <c r="CE13" s="43"/>
      <c r="CF13" s="43"/>
      <c r="CG13" s="43"/>
      <c r="CH13" s="45" t="s">
        <v>28</v>
      </c>
      <c r="CI13" s="43"/>
      <c r="CJ13" s="46"/>
      <c r="CK13" s="6"/>
      <c r="CL13" s="4"/>
      <c r="CM13" s="4"/>
      <c r="CN13" s="6"/>
      <c r="CO13" s="59"/>
      <c r="CP13" s="43"/>
      <c r="CQ13" s="43"/>
      <c r="CR13" s="43"/>
      <c r="CS13" s="43"/>
      <c r="CT13" s="43"/>
      <c r="CU13" s="45" t="s">
        <v>28</v>
      </c>
      <c r="CV13" s="43"/>
      <c r="CW13" s="46"/>
      <c r="CX13" s="6"/>
      <c r="CY13" s="4"/>
      <c r="CZ13" s="4"/>
      <c r="DA13" s="6"/>
      <c r="DB13" s="35"/>
      <c r="DC13" s="43"/>
      <c r="DD13" s="43"/>
      <c r="DE13" s="43"/>
      <c r="DF13" s="43"/>
      <c r="DG13" s="43"/>
      <c r="DH13" s="45" t="s">
        <v>28</v>
      </c>
      <c r="DI13" s="43"/>
      <c r="DJ13" s="46"/>
      <c r="DK13" s="6"/>
      <c r="DL13" s="4"/>
      <c r="DM13" s="4"/>
      <c r="DN13" s="6"/>
      <c r="DO13" s="59"/>
      <c r="DP13" s="43"/>
      <c r="DQ13" s="43"/>
      <c r="DR13" s="43"/>
      <c r="DS13" s="43"/>
      <c r="DT13" s="43"/>
      <c r="DU13" s="45" t="s">
        <v>28</v>
      </c>
      <c r="DV13" s="43"/>
      <c r="DW13" s="46"/>
      <c r="DX13" s="45"/>
      <c r="DY13" s="43"/>
      <c r="DZ13" s="4"/>
      <c r="EA13" s="6"/>
      <c r="EB13" s="59"/>
      <c r="EC13" s="43"/>
      <c r="ED13" s="43"/>
      <c r="EE13" s="43"/>
      <c r="EF13" s="43"/>
      <c r="EG13" s="43"/>
      <c r="EH13" s="45"/>
      <c r="EI13" s="43"/>
      <c r="EJ13" s="43"/>
      <c r="EK13" s="45"/>
      <c r="EL13" s="46"/>
      <c r="EM13" s="43"/>
      <c r="EN13" s="70"/>
      <c r="EO13" s="43"/>
      <c r="EP13" s="43"/>
      <c r="EQ13" s="43"/>
      <c r="ER13" s="43"/>
      <c r="ES13" s="43"/>
      <c r="ET13" s="43"/>
      <c r="EU13" s="45" t="s">
        <v>28</v>
      </c>
      <c r="EV13" s="43"/>
      <c r="EW13" s="46"/>
      <c r="EX13" s="45"/>
      <c r="EY13" s="43"/>
      <c r="EZ13" s="43"/>
      <c r="FA13" s="43"/>
      <c r="FB13" s="70"/>
      <c r="FC13" s="43"/>
      <c r="FD13" s="43"/>
      <c r="FE13" s="43"/>
      <c r="FF13" s="43"/>
      <c r="FG13" s="43"/>
      <c r="FH13" s="43"/>
      <c r="FI13" s="45" t="s">
        <v>28</v>
      </c>
      <c r="FJ13" s="43"/>
      <c r="FK13" s="46"/>
      <c r="FL13" s="6"/>
      <c r="FM13" s="4"/>
      <c r="FN13" s="4"/>
      <c r="FO13" s="70"/>
      <c r="FP13" s="43"/>
      <c r="FQ13" s="43"/>
      <c r="FR13" s="43"/>
      <c r="FS13" s="43"/>
      <c r="FT13" s="43"/>
      <c r="FU13" s="43"/>
      <c r="FV13" s="45" t="s">
        <v>28</v>
      </c>
      <c r="FW13" s="43"/>
      <c r="FX13" s="46"/>
      <c r="FY13" s="45"/>
      <c r="FZ13" s="4"/>
      <c r="GA13" s="4"/>
      <c r="GB13" s="70"/>
      <c r="GC13" s="43"/>
      <c r="GD13" s="43"/>
      <c r="GE13" s="43"/>
      <c r="GF13" s="43"/>
      <c r="GG13" s="43"/>
      <c r="GH13" s="43"/>
      <c r="GI13" s="45" t="s">
        <v>28</v>
      </c>
      <c r="GJ13" s="43"/>
      <c r="GK13" s="46"/>
      <c r="GL13" s="6"/>
      <c r="GM13" s="4"/>
      <c r="GN13" s="4"/>
      <c r="GO13" s="70"/>
      <c r="GP13" s="43"/>
      <c r="GQ13" s="43"/>
      <c r="GR13" s="43"/>
      <c r="GS13" s="43"/>
      <c r="GT13" s="43"/>
      <c r="GU13" s="43"/>
      <c r="GV13" s="45" t="s">
        <v>28</v>
      </c>
      <c r="GW13" s="43"/>
      <c r="GX13" s="43"/>
      <c r="GY13" s="94"/>
      <c r="GZ13" s="4"/>
      <c r="HA13" s="4"/>
      <c r="HB13" s="70"/>
      <c r="HC13" s="43"/>
      <c r="HD13" s="43"/>
      <c r="HE13" s="43"/>
      <c r="HF13" s="43"/>
      <c r="HG13" s="43"/>
      <c r="HH13" s="43"/>
      <c r="HI13" s="45" t="s">
        <v>28</v>
      </c>
      <c r="HJ13" s="43"/>
      <c r="HK13" s="46"/>
      <c r="HL13" s="6"/>
      <c r="HM13" s="4"/>
      <c r="HN13" s="43"/>
      <c r="HO13" s="70"/>
      <c r="HP13" s="99" t="s">
        <v>165</v>
      </c>
      <c r="HQ13" s="100"/>
      <c r="HR13" s="100"/>
      <c r="HS13" s="58">
        <v>1</v>
      </c>
      <c r="HT13" s="58">
        <v>20</v>
      </c>
      <c r="HU13" s="106">
        <v>5</v>
      </c>
      <c r="HV13" s="45" t="s">
        <v>28</v>
      </c>
      <c r="HW13" s="108">
        <f aca="true" t="shared" si="10" ref="HW13:HW43">(HS13*HT13*HU13)</f>
        <v>100</v>
      </c>
      <c r="HX13" s="107">
        <f>(HW13/$BD$2)*1000</f>
        <v>500</v>
      </c>
      <c r="HY13" s="94"/>
      <c r="HZ13" s="4"/>
      <c r="IA13" s="70"/>
      <c r="IB13" s="112" t="s">
        <v>166</v>
      </c>
      <c r="IC13" s="100"/>
      <c r="ID13" s="43"/>
      <c r="IE13" s="62"/>
      <c r="IF13" s="65"/>
      <c r="IG13" s="79">
        <v>2.5</v>
      </c>
      <c r="IH13" s="45" t="s">
        <v>28</v>
      </c>
      <c r="II13" s="65">
        <f aca="true" t="shared" si="11" ref="II13:II18">(IV13)</f>
        <v>0</v>
      </c>
      <c r="IJ13" s="106">
        <f aca="true" t="shared" si="12" ref="IJ13:IJ19">(II13/$BF$2)*1000</f>
        <v>0</v>
      </c>
      <c r="IK13" s="94"/>
      <c r="IL13" s="11">
        <f t="shared" si="0"/>
        <v>90</v>
      </c>
      <c r="IM13" s="13">
        <f t="shared" si="1"/>
        <v>120</v>
      </c>
      <c r="IN13" s="13">
        <f t="shared" si="2"/>
        <v>33.599999999999994</v>
      </c>
      <c r="IO13" s="13">
        <f t="shared" si="9"/>
        <v>3.75</v>
      </c>
      <c r="IP13" s="13">
        <f t="shared" si="4"/>
        <v>0</v>
      </c>
      <c r="IQ13" s="11">
        <f t="shared" si="5"/>
        <v>3.44</v>
      </c>
      <c r="IR13" s="11">
        <f t="shared" si="6"/>
        <v>84.00000000000001</v>
      </c>
      <c r="IS13" s="4"/>
      <c r="IT13" s="4"/>
      <c r="IU13" s="6" t="s">
        <v>28</v>
      </c>
      <c r="IV13" s="13">
        <f aca="true" t="shared" si="13" ref="IV13:IV18">(IF13*IG13)</f>
        <v>0</v>
      </c>
    </row>
    <row r="14" spans="1:256" ht="12.75">
      <c r="A14" s="225"/>
      <c r="B14" s="204"/>
      <c r="C14" s="24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8"/>
      <c r="P14" s="207"/>
      <c r="Q14" s="208"/>
      <c r="R14" s="209"/>
      <c r="S14" s="59"/>
      <c r="T14" s="356" t="s">
        <v>167</v>
      </c>
      <c r="U14" s="358"/>
      <c r="V14" s="138"/>
      <c r="W14" s="43"/>
      <c r="X14" s="43"/>
      <c r="Y14" s="359">
        <v>0</v>
      </c>
      <c r="Z14" s="63">
        <f>IF((X14)=0,0,(Y14-X14)/X14)</f>
        <v>0</v>
      </c>
      <c r="AA14" s="6"/>
      <c r="AB14" s="59"/>
      <c r="AC14" s="70"/>
      <c r="AD14" s="43"/>
      <c r="AE14" s="43"/>
      <c r="AF14" s="43"/>
      <c r="AG14" s="43"/>
      <c r="AH14" s="108"/>
      <c r="AI14" s="386"/>
      <c r="AJ14" s="408"/>
      <c r="AK14" s="266"/>
      <c r="AL14" s="45"/>
      <c r="AM14" s="43"/>
      <c r="AN14" s="70"/>
      <c r="AO14" s="43"/>
      <c r="AP14" s="43"/>
      <c r="AQ14" s="43"/>
      <c r="AR14" s="43"/>
      <c r="AS14" s="43"/>
      <c r="AT14" s="43"/>
      <c r="AU14" s="43"/>
      <c r="AV14" s="43"/>
      <c r="AW14" s="94"/>
      <c r="AX14" s="46"/>
      <c r="AY14" s="43"/>
      <c r="AZ14" s="43"/>
      <c r="BA14" s="70"/>
      <c r="BB14" s="43"/>
      <c r="BC14" s="44" t="s">
        <v>106</v>
      </c>
      <c r="BD14" s="43"/>
      <c r="BE14" s="43"/>
      <c r="BF14" s="43"/>
      <c r="BG14" s="43"/>
      <c r="BH14" s="43"/>
      <c r="BI14" s="43"/>
      <c r="BJ14" s="46"/>
      <c r="BK14" s="45"/>
      <c r="BL14" s="43"/>
      <c r="BM14" s="43"/>
      <c r="BN14" s="70"/>
      <c r="BO14" s="43"/>
      <c r="BP14" s="44" t="s">
        <v>106</v>
      </c>
      <c r="BQ14" s="43"/>
      <c r="BR14" s="43"/>
      <c r="BS14" s="43"/>
      <c r="BT14" s="43"/>
      <c r="BU14" s="43"/>
      <c r="BV14" s="43"/>
      <c r="BW14" s="46"/>
      <c r="BX14" s="6"/>
      <c r="BY14" s="4"/>
      <c r="BZ14" s="4"/>
      <c r="CA14" s="6"/>
      <c r="CB14" s="38" t="s">
        <v>168</v>
      </c>
      <c r="CC14" s="36"/>
      <c r="CD14" s="65"/>
      <c r="CE14" s="43"/>
      <c r="CF14" s="43"/>
      <c r="CG14" s="43"/>
      <c r="CH14" s="45" t="s">
        <v>28</v>
      </c>
      <c r="CI14" s="43"/>
      <c r="CJ14" s="46"/>
      <c r="CK14" s="6"/>
      <c r="CL14" s="4"/>
      <c r="CM14" s="4"/>
      <c r="CN14" s="6"/>
      <c r="CO14" s="38" t="s">
        <v>169</v>
      </c>
      <c r="CP14" s="43"/>
      <c r="CQ14" s="65"/>
      <c r="CR14" s="43"/>
      <c r="CS14" s="43"/>
      <c r="CT14" s="43"/>
      <c r="CU14" s="45" t="s">
        <v>28</v>
      </c>
      <c r="CV14" s="43"/>
      <c r="CW14" s="46"/>
      <c r="CX14" s="6"/>
      <c r="CY14" s="4"/>
      <c r="CZ14" s="4"/>
      <c r="DA14" s="6"/>
      <c r="DB14" s="38" t="s">
        <v>170</v>
      </c>
      <c r="DC14" s="43"/>
      <c r="DD14" s="338">
        <f>(DF15)</f>
        <v>260</v>
      </c>
      <c r="DE14" s="60" t="s">
        <v>72</v>
      </c>
      <c r="DF14" s="43"/>
      <c r="DG14" s="43"/>
      <c r="DH14" s="45" t="s">
        <v>28</v>
      </c>
      <c r="DI14" s="43"/>
      <c r="DJ14" s="46"/>
      <c r="DK14" s="6"/>
      <c r="DL14" s="4"/>
      <c r="DM14" s="4"/>
      <c r="DN14" s="6"/>
      <c r="DO14" s="38" t="s">
        <v>171</v>
      </c>
      <c r="DP14" s="43"/>
      <c r="DQ14" s="338">
        <f>($DS$5)</f>
        <v>0</v>
      </c>
      <c r="DR14" s="60" t="s">
        <v>72</v>
      </c>
      <c r="DS14" s="43"/>
      <c r="DT14" s="43"/>
      <c r="DU14" s="45" t="s">
        <v>28</v>
      </c>
      <c r="DV14" s="43"/>
      <c r="DW14" s="46"/>
      <c r="DX14" s="45"/>
      <c r="DY14" s="43"/>
      <c r="DZ14" s="4"/>
      <c r="EA14" s="6"/>
      <c r="EB14" s="38" t="s">
        <v>172</v>
      </c>
      <c r="EC14" s="43"/>
      <c r="ED14" s="65"/>
      <c r="EE14" s="43"/>
      <c r="EF14" s="43"/>
      <c r="EG14" s="43"/>
      <c r="EH14" s="45"/>
      <c r="EI14" s="43"/>
      <c r="EJ14" s="43"/>
      <c r="EK14" s="45"/>
      <c r="EL14" s="46"/>
      <c r="EM14" s="43"/>
      <c r="EN14" s="70"/>
      <c r="EO14" s="47" t="s">
        <v>173</v>
      </c>
      <c r="EP14" s="43"/>
      <c r="EQ14" s="65"/>
      <c r="ER14" s="43"/>
      <c r="ES14" s="43"/>
      <c r="ET14" s="43"/>
      <c r="EU14" s="45" t="s">
        <v>28</v>
      </c>
      <c r="EV14" s="43"/>
      <c r="EW14" s="87"/>
      <c r="EX14" s="45"/>
      <c r="EY14" s="43"/>
      <c r="EZ14" s="43"/>
      <c r="FA14" s="43"/>
      <c r="FB14" s="70"/>
      <c r="FC14" s="47" t="s">
        <v>173</v>
      </c>
      <c r="FD14" s="43"/>
      <c r="FE14" s="65"/>
      <c r="FF14" s="43"/>
      <c r="FG14" s="43"/>
      <c r="FH14" s="43"/>
      <c r="FI14" s="45" t="s">
        <v>28</v>
      </c>
      <c r="FJ14" s="43"/>
      <c r="FK14" s="46"/>
      <c r="FL14" s="6"/>
      <c r="FM14" s="4"/>
      <c r="FN14" s="4"/>
      <c r="FO14" s="70"/>
      <c r="FP14" s="47" t="s">
        <v>174</v>
      </c>
      <c r="FQ14" s="43"/>
      <c r="FR14" s="65"/>
      <c r="FS14" s="43"/>
      <c r="FT14" s="43"/>
      <c r="FU14" s="43"/>
      <c r="FV14" s="45" t="s">
        <v>28</v>
      </c>
      <c r="FW14" s="43"/>
      <c r="FX14" s="87"/>
      <c r="FY14" s="45"/>
      <c r="FZ14" s="4"/>
      <c r="GA14" s="4"/>
      <c r="GB14" s="70"/>
      <c r="GC14" s="47" t="s">
        <v>175</v>
      </c>
      <c r="GD14" s="43"/>
      <c r="GE14" s="65"/>
      <c r="GF14" s="43"/>
      <c r="GG14" s="43"/>
      <c r="GH14" s="43"/>
      <c r="GI14" s="45" t="s">
        <v>28</v>
      </c>
      <c r="GJ14" s="43"/>
      <c r="GK14" s="46"/>
      <c r="GL14" s="6"/>
      <c r="GM14" s="4"/>
      <c r="GN14" s="4"/>
      <c r="GO14" s="70"/>
      <c r="GP14" s="47" t="s">
        <v>176</v>
      </c>
      <c r="GQ14" s="43"/>
      <c r="GR14" s="43"/>
      <c r="GS14" s="43"/>
      <c r="GT14" s="43"/>
      <c r="GU14" s="43"/>
      <c r="GV14" s="45" t="s">
        <v>28</v>
      </c>
      <c r="GW14" s="43"/>
      <c r="GX14" s="43"/>
      <c r="GY14" s="94"/>
      <c r="GZ14" s="4"/>
      <c r="HA14" s="4"/>
      <c r="HB14" s="70"/>
      <c r="HC14" s="47" t="s">
        <v>177</v>
      </c>
      <c r="HD14" s="43"/>
      <c r="HE14" s="43"/>
      <c r="HF14" s="43"/>
      <c r="HG14" s="43"/>
      <c r="HH14" s="43"/>
      <c r="HI14" s="45" t="s">
        <v>28</v>
      </c>
      <c r="HJ14" s="43"/>
      <c r="HK14" s="46"/>
      <c r="HL14" s="6"/>
      <c r="HM14" s="4"/>
      <c r="HN14" s="416"/>
      <c r="HO14" s="70"/>
      <c r="HP14" s="99" t="s">
        <v>178</v>
      </c>
      <c r="HQ14" s="100"/>
      <c r="HR14" s="100"/>
      <c r="HS14" s="65">
        <v>1</v>
      </c>
      <c r="HT14" s="65">
        <v>150</v>
      </c>
      <c r="HU14" s="106">
        <v>7</v>
      </c>
      <c r="HV14" s="45" t="s">
        <v>28</v>
      </c>
      <c r="HW14" s="108">
        <f t="shared" si="10"/>
        <v>1050</v>
      </c>
      <c r="HX14" s="107">
        <f aca="true" t="shared" si="14" ref="HX14:HX43">(HW14/$BF$2)*1000</f>
        <v>5250</v>
      </c>
      <c r="HY14" s="94"/>
      <c r="HZ14" s="4"/>
      <c r="IA14" s="70"/>
      <c r="IB14" s="112" t="s">
        <v>179</v>
      </c>
      <c r="IC14" s="100"/>
      <c r="ID14" s="43"/>
      <c r="IE14" s="62"/>
      <c r="IF14" s="65"/>
      <c r="IG14" s="79">
        <v>2</v>
      </c>
      <c r="IH14" s="45" t="s">
        <v>28</v>
      </c>
      <c r="II14" s="65">
        <f t="shared" si="11"/>
        <v>0</v>
      </c>
      <c r="IJ14" s="106">
        <f t="shared" si="12"/>
        <v>0</v>
      </c>
      <c r="IK14" s="94"/>
      <c r="IL14" s="11">
        <f t="shared" si="0"/>
        <v>90</v>
      </c>
      <c r="IM14" s="13">
        <f t="shared" si="1"/>
        <v>0</v>
      </c>
      <c r="IN14" s="13">
        <f t="shared" si="2"/>
        <v>0</v>
      </c>
      <c r="IO14" s="13">
        <f t="shared" si="9"/>
        <v>240</v>
      </c>
      <c r="IP14" s="13">
        <f t="shared" si="4"/>
        <v>0</v>
      </c>
      <c r="IQ14" s="11">
        <f t="shared" si="5"/>
        <v>0.76</v>
      </c>
      <c r="IR14" s="11">
        <f t="shared" si="6"/>
        <v>210</v>
      </c>
      <c r="IS14" s="4"/>
      <c r="IT14" s="4"/>
      <c r="IU14" s="6" t="s">
        <v>28</v>
      </c>
      <c r="IV14" s="13">
        <f t="shared" si="13"/>
        <v>0</v>
      </c>
    </row>
    <row r="15" spans="1:256" ht="13.5" thickBot="1">
      <c r="A15" s="225"/>
      <c r="B15" s="204"/>
      <c r="C15" s="24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8"/>
      <c r="P15" s="207"/>
      <c r="Q15" s="208"/>
      <c r="R15" s="209"/>
      <c r="S15" s="59"/>
      <c r="T15" s="43"/>
      <c r="U15" s="43"/>
      <c r="V15" s="43"/>
      <c r="W15" s="43"/>
      <c r="X15" s="43"/>
      <c r="Y15" s="43"/>
      <c r="Z15" s="64"/>
      <c r="AA15" s="6"/>
      <c r="AB15" s="59"/>
      <c r="AC15" s="70"/>
      <c r="AD15" s="43"/>
      <c r="AE15" s="44" t="s">
        <v>180</v>
      </c>
      <c r="AF15" s="43"/>
      <c r="AG15" s="43"/>
      <c r="AH15" s="108">
        <f>(IQ55)</f>
        <v>8971.505000000001</v>
      </c>
      <c r="AI15" s="386">
        <f>(CS55)</f>
        <v>0</v>
      </c>
      <c r="AJ15" s="408">
        <f>AH15+AI15</f>
        <v>8971.505000000001</v>
      </c>
      <c r="AK15" s="389" t="s">
        <v>181</v>
      </c>
      <c r="AL15" s="45"/>
      <c r="AM15" s="43"/>
      <c r="AN15" s="70"/>
      <c r="AO15" s="43"/>
      <c r="AP15" s="43"/>
      <c r="AQ15" s="44" t="s">
        <v>182</v>
      </c>
      <c r="AR15" s="43"/>
      <c r="AS15" s="43"/>
      <c r="AT15" s="43"/>
      <c r="AU15" s="58">
        <f>2.74</f>
        <v>2.74</v>
      </c>
      <c r="AV15" s="43"/>
      <c r="AW15" s="94"/>
      <c r="AX15" s="46"/>
      <c r="AY15" s="43"/>
      <c r="AZ15" s="43"/>
      <c r="BA15" s="70"/>
      <c r="BB15" s="43"/>
      <c r="BC15" s="44" t="s">
        <v>90</v>
      </c>
      <c r="BD15" s="43"/>
      <c r="BE15" s="60" t="s">
        <v>100</v>
      </c>
      <c r="BF15" s="60" t="s">
        <v>130</v>
      </c>
      <c r="BG15" s="60" t="s">
        <v>131</v>
      </c>
      <c r="BH15" s="43"/>
      <c r="BI15" s="60" t="s">
        <v>132</v>
      </c>
      <c r="BJ15" s="61" t="s">
        <v>9</v>
      </c>
      <c r="BK15" s="45"/>
      <c r="BL15" s="43"/>
      <c r="BM15" s="43"/>
      <c r="BN15" s="70"/>
      <c r="BO15" s="43"/>
      <c r="BP15" s="44" t="s">
        <v>90</v>
      </c>
      <c r="BQ15" s="43"/>
      <c r="BR15" s="60" t="s">
        <v>100</v>
      </c>
      <c r="BS15" s="60" t="s">
        <v>130</v>
      </c>
      <c r="BT15" s="60" t="s">
        <v>131</v>
      </c>
      <c r="BU15" s="43"/>
      <c r="BV15" s="60" t="s">
        <v>132</v>
      </c>
      <c r="BW15" s="61" t="s">
        <v>9</v>
      </c>
      <c r="BX15" s="6"/>
      <c r="BY15" s="4"/>
      <c r="BZ15" s="4"/>
      <c r="CA15" s="6"/>
      <c r="CB15" s="112" t="s">
        <v>183</v>
      </c>
      <c r="CC15" s="100"/>
      <c r="CD15" s="43"/>
      <c r="CE15" s="71">
        <f>2+9+4+1+1+5+4+2+11+2+2+20</f>
        <v>63</v>
      </c>
      <c r="CF15" s="65"/>
      <c r="CG15" s="79">
        <v>14.9</v>
      </c>
      <c r="CH15" s="45" t="s">
        <v>28</v>
      </c>
      <c r="CI15" s="65">
        <f aca="true" t="shared" si="15" ref="CI15:CI53">(CE15*CG15)</f>
        <v>938.7</v>
      </c>
      <c r="CJ15" s="80">
        <f aca="true" t="shared" si="16" ref="CJ15:CJ25">(CI15/$BF$2)*1000</f>
        <v>4693.5</v>
      </c>
      <c r="CK15" s="6"/>
      <c r="CL15" s="4"/>
      <c r="CM15" s="11"/>
      <c r="CN15" s="6"/>
      <c r="CO15" s="112" t="s">
        <v>184</v>
      </c>
      <c r="CP15" s="100"/>
      <c r="CQ15" s="100"/>
      <c r="CR15" s="71">
        <v>1</v>
      </c>
      <c r="CS15" s="65"/>
      <c r="CT15" s="79">
        <v>52.4</v>
      </c>
      <c r="CU15" s="45" t="s">
        <v>28</v>
      </c>
      <c r="CV15" s="65">
        <f aca="true" t="shared" si="17" ref="CV15:CV37">(CR15*CT15)</f>
        <v>52.4</v>
      </c>
      <c r="CW15" s="80">
        <f aca="true" t="shared" si="18" ref="CW15:CW20">(CV15/$BF$2)*1000</f>
        <v>262</v>
      </c>
      <c r="CX15" s="6"/>
      <c r="CY15" s="4"/>
      <c r="CZ15" s="11"/>
      <c r="DA15" s="122"/>
      <c r="DB15" s="112" t="s">
        <v>185</v>
      </c>
      <c r="DC15" s="100"/>
      <c r="DD15" s="43"/>
      <c r="DE15" s="71">
        <v>1</v>
      </c>
      <c r="DF15" s="65">
        <f aca="true" t="shared" si="19" ref="DF15:DF20">$DF$5</f>
        <v>260</v>
      </c>
      <c r="DG15" s="79">
        <v>0.45</v>
      </c>
      <c r="DH15" s="45" t="s">
        <v>28</v>
      </c>
      <c r="DI15" s="65">
        <f>(DE15*DF15*DG15)</f>
        <v>117</v>
      </c>
      <c r="DJ15" s="80">
        <f aca="true" t="shared" si="20" ref="DJ15:DJ20">(DI15/$BF$2)*1000</f>
        <v>585</v>
      </c>
      <c r="DK15" s="6"/>
      <c r="DL15" s="4"/>
      <c r="DM15" s="4"/>
      <c r="DN15" s="6"/>
      <c r="DO15" s="112" t="s">
        <v>186</v>
      </c>
      <c r="DP15" s="100"/>
      <c r="DQ15" s="43"/>
      <c r="DR15" s="71"/>
      <c r="DS15" s="65">
        <f aca="true" t="shared" si="21" ref="DS15:DS20">($DS$5)</f>
        <v>0</v>
      </c>
      <c r="DT15" s="79">
        <v>1.5</v>
      </c>
      <c r="DU15" s="45" t="s">
        <v>28</v>
      </c>
      <c r="DV15" s="65">
        <f>(DR15*DS15*DT15)</f>
        <v>0</v>
      </c>
      <c r="DW15" s="80">
        <f aca="true" t="shared" si="22" ref="DW15:DW21">(DV15/$BF$2)*1000</f>
        <v>0</v>
      </c>
      <c r="DX15" s="45"/>
      <c r="DY15" s="43"/>
      <c r="DZ15" s="4"/>
      <c r="EA15" s="6"/>
      <c r="EB15" s="112" t="s">
        <v>187</v>
      </c>
      <c r="EC15" s="100"/>
      <c r="ED15" s="100"/>
      <c r="EE15" s="71">
        <v>2</v>
      </c>
      <c r="EF15" s="65">
        <v>8</v>
      </c>
      <c r="EG15" s="79">
        <v>130</v>
      </c>
      <c r="EH15" s="45"/>
      <c r="EI15" s="65">
        <f aca="true" t="shared" si="23" ref="EI15:EI53">(EE15*EF15*EG15)</f>
        <v>2080</v>
      </c>
      <c r="EJ15" s="106">
        <f aca="true" t="shared" si="24" ref="EJ15:EJ53">(EI15/$BF$2)*1000</f>
        <v>10400</v>
      </c>
      <c r="EK15" s="45"/>
      <c r="EL15" s="46"/>
      <c r="EM15" s="43"/>
      <c r="EN15" s="70"/>
      <c r="EO15" s="99" t="s">
        <v>188</v>
      </c>
      <c r="EP15" s="100"/>
      <c r="EQ15" s="100"/>
      <c r="ER15" s="71">
        <v>0</v>
      </c>
      <c r="ES15" s="65">
        <v>2</v>
      </c>
      <c r="ET15" s="468">
        <f>SUM(EV16:EV32)/2</f>
        <v>1240</v>
      </c>
      <c r="EU15" s="45" t="s">
        <v>28</v>
      </c>
      <c r="EV15" s="65">
        <f aca="true" t="shared" si="25" ref="EV15:EV32">(ER15*ES15*ET15)</f>
        <v>0</v>
      </c>
      <c r="EW15" s="80">
        <f aca="true" t="shared" si="26" ref="EW15:EW32">(EV15/$BF$2)*1000</f>
        <v>0</v>
      </c>
      <c r="EX15" s="45"/>
      <c r="EY15" s="43"/>
      <c r="EZ15" s="43"/>
      <c r="FA15" s="43"/>
      <c r="FB15" s="70"/>
      <c r="FC15" s="99" t="s">
        <v>189</v>
      </c>
      <c r="FD15" s="100"/>
      <c r="FE15" s="100"/>
      <c r="FF15" s="71">
        <v>1</v>
      </c>
      <c r="FG15" s="65">
        <v>1</v>
      </c>
      <c r="FH15" s="79">
        <v>180</v>
      </c>
      <c r="FI15" s="45" t="s">
        <v>28</v>
      </c>
      <c r="FJ15" s="65">
        <f aca="true" t="shared" si="27" ref="FJ15:FJ23">(FF15*FG15*FH15)</f>
        <v>180</v>
      </c>
      <c r="FK15" s="80">
        <f aca="true" t="shared" si="28" ref="FK15:FK23">(FJ15/$BF$2)*1000</f>
        <v>900</v>
      </c>
      <c r="FL15" s="6"/>
      <c r="FM15" s="4"/>
      <c r="FN15" s="4"/>
      <c r="FO15" s="70"/>
      <c r="FP15" s="99" t="s">
        <v>190</v>
      </c>
      <c r="FQ15" s="100"/>
      <c r="FR15" s="100"/>
      <c r="FS15" s="71"/>
      <c r="FT15" s="65"/>
      <c r="FU15" s="79">
        <v>640</v>
      </c>
      <c r="FV15" s="45" t="s">
        <v>28</v>
      </c>
      <c r="FW15" s="65">
        <f>(FS15*FT15*FU15)</f>
        <v>0</v>
      </c>
      <c r="FX15" s="80">
        <f>(FW15/$BF$2)*1000</f>
        <v>0</v>
      </c>
      <c r="FY15" s="45"/>
      <c r="FZ15" s="4"/>
      <c r="GA15" s="420"/>
      <c r="GB15" s="70"/>
      <c r="GC15" s="99" t="s">
        <v>191</v>
      </c>
      <c r="GD15" s="100"/>
      <c r="GE15" s="100"/>
      <c r="GF15" s="71">
        <v>1</v>
      </c>
      <c r="GG15" s="65">
        <v>1</v>
      </c>
      <c r="GH15" s="79">
        <v>45</v>
      </c>
      <c r="GI15" s="45" t="s">
        <v>28</v>
      </c>
      <c r="GJ15" s="65">
        <f aca="true" t="shared" si="29" ref="GJ15:GJ27">(GF15*GG15*GH15)</f>
        <v>45</v>
      </c>
      <c r="GK15" s="80">
        <f aca="true" t="shared" si="30" ref="GK15:GK27">(GJ15/$BF$2)*1000</f>
        <v>225</v>
      </c>
      <c r="GL15" s="6"/>
      <c r="GM15" s="4"/>
      <c r="GN15" s="423"/>
      <c r="GO15" s="70"/>
      <c r="GP15" s="99" t="s">
        <v>192</v>
      </c>
      <c r="GQ15" s="100"/>
      <c r="GR15" s="100"/>
      <c r="GS15" s="71">
        <v>0</v>
      </c>
      <c r="GT15" s="71">
        <v>0</v>
      </c>
      <c r="GU15" s="141">
        <v>0.012</v>
      </c>
      <c r="GV15" s="45" t="s">
        <v>28</v>
      </c>
      <c r="GW15" s="65">
        <f aca="true" t="shared" si="31" ref="GW15:GW22">(GZ15)+IF(GU15&gt;=0.015,0,GZ15*1.2)+IF($GZ$32&gt;=1000,0,GZ15*1.3)+IF($GS$25=0,0,GZ15*1.2)+IF($GS$26=0,0,GZ15*1.4)+IF($GS$27=0,0,GZ15*1.2)+IF($GS$28=0,0,GZ15*1.4)</f>
        <v>0</v>
      </c>
      <c r="GX15" s="106">
        <f aca="true" t="shared" si="32" ref="GX15:GX22">(GW15/$BF$2)*1000</f>
        <v>0</v>
      </c>
      <c r="GY15" s="94"/>
      <c r="GZ15" s="13">
        <f>($GS$15*$GT$15*$GU$15*$GW$7*$GW$8)*(5.06)</f>
        <v>0</v>
      </c>
      <c r="HA15" s="415"/>
      <c r="HB15" s="70"/>
      <c r="HC15" s="99" t="s">
        <v>193</v>
      </c>
      <c r="HD15" s="100"/>
      <c r="HE15" s="100"/>
      <c r="HF15" s="65">
        <v>12</v>
      </c>
      <c r="HG15" s="65">
        <v>2</v>
      </c>
      <c r="HH15" s="141">
        <v>9.625</v>
      </c>
      <c r="HI15" s="45" t="s">
        <v>28</v>
      </c>
      <c r="HJ15" s="65">
        <f aca="true" t="shared" si="33" ref="HJ15:HJ26">IF(HG15&lt;=3,HM15,HM15*1.3)+IF($HJ$8=0,0,HM15*1.15)+IF($HJ$9=0,0,HM15*1.4)+IF($HJ$7=0,0,HM15*1.1)+IF($HJ$6=0,0,HM15*1.5)</f>
        <v>554.4</v>
      </c>
      <c r="HK15" s="80">
        <f>(HJ15/BD2)*1000/2</f>
        <v>1386</v>
      </c>
      <c r="HL15" s="6"/>
      <c r="HM15" s="13">
        <f aca="true" t="shared" si="34" ref="HM15:HM26">(HF15*HG15*HH15)</f>
        <v>231</v>
      </c>
      <c r="HN15" s="416"/>
      <c r="HO15" s="70"/>
      <c r="HP15" s="99" t="s">
        <v>194</v>
      </c>
      <c r="HQ15" s="100"/>
      <c r="HR15" s="100"/>
      <c r="HS15" s="65">
        <v>1</v>
      </c>
      <c r="HT15" s="65">
        <v>15</v>
      </c>
      <c r="HU15" s="106">
        <v>3</v>
      </c>
      <c r="HV15" s="45" t="s">
        <v>28</v>
      </c>
      <c r="HW15" s="108">
        <f t="shared" si="10"/>
        <v>45</v>
      </c>
      <c r="HX15" s="107">
        <f t="shared" si="14"/>
        <v>225</v>
      </c>
      <c r="HY15" s="94"/>
      <c r="HZ15" s="4"/>
      <c r="IA15" s="70"/>
      <c r="IB15" s="112" t="s">
        <v>195</v>
      </c>
      <c r="IC15" s="100"/>
      <c r="ID15" s="43"/>
      <c r="IE15" s="62"/>
      <c r="IF15" s="65"/>
      <c r="IG15" s="79">
        <v>1.7</v>
      </c>
      <c r="IH15" s="45" t="s">
        <v>28</v>
      </c>
      <c r="II15" s="65">
        <f t="shared" si="11"/>
        <v>0</v>
      </c>
      <c r="IJ15" s="106">
        <f t="shared" si="12"/>
        <v>0</v>
      </c>
      <c r="IK15" s="94"/>
      <c r="IL15" s="11">
        <f t="shared" si="0"/>
        <v>260</v>
      </c>
      <c r="IM15" s="13">
        <f t="shared" si="1"/>
        <v>800</v>
      </c>
      <c r="IN15" s="13">
        <f t="shared" si="2"/>
        <v>0</v>
      </c>
      <c r="IO15" s="13">
        <f t="shared" si="9"/>
        <v>46.800000000000004</v>
      </c>
      <c r="IP15" s="13">
        <f t="shared" si="4"/>
        <v>0</v>
      </c>
      <c r="IQ15" s="11">
        <f t="shared" si="5"/>
        <v>0</v>
      </c>
      <c r="IR15" s="11">
        <f t="shared" si="6"/>
        <v>0</v>
      </c>
      <c r="IS15" s="4"/>
      <c r="IT15" s="4"/>
      <c r="IU15" s="6" t="s">
        <v>28</v>
      </c>
      <c r="IV15" s="13">
        <f t="shared" si="13"/>
        <v>0</v>
      </c>
    </row>
    <row r="16" spans="1:256" ht="13.5" thickBot="1">
      <c r="A16" s="225"/>
      <c r="B16" s="204"/>
      <c r="C16" s="24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8"/>
      <c r="P16" s="207"/>
      <c r="Q16" s="208"/>
      <c r="R16" s="209"/>
      <c r="S16" s="59"/>
      <c r="T16" s="356" t="s">
        <v>196</v>
      </c>
      <c r="U16" s="357"/>
      <c r="V16" s="357"/>
      <c r="W16" s="358"/>
      <c r="X16" s="62">
        <f>SUM(X17:X18)</f>
        <v>0</v>
      </c>
      <c r="Y16" s="359">
        <f>SUM(Y17:Y18)</f>
        <v>4638</v>
      </c>
      <c r="Z16" s="63">
        <f>IF((X16)=0,0,(Y16-X16)/X16)</f>
        <v>0</v>
      </c>
      <c r="AA16" s="6"/>
      <c r="AB16" s="59"/>
      <c r="AC16" s="70"/>
      <c r="AD16" s="43"/>
      <c r="AE16" s="43"/>
      <c r="AF16" s="43"/>
      <c r="AG16" s="43"/>
      <c r="AH16" s="108"/>
      <c r="AI16" s="386"/>
      <c r="AJ16" s="408"/>
      <c r="AK16" s="266"/>
      <c r="AL16" s="45"/>
      <c r="AM16" s="43"/>
      <c r="AN16" s="70"/>
      <c r="AO16" s="43"/>
      <c r="AP16" s="43"/>
      <c r="AQ16" s="43"/>
      <c r="AR16" s="43"/>
      <c r="AS16" s="43"/>
      <c r="AT16" s="43"/>
      <c r="AU16" s="43"/>
      <c r="AV16" s="43"/>
      <c r="AW16" s="94"/>
      <c r="AX16" s="46"/>
      <c r="AY16" s="43"/>
      <c r="AZ16" s="43"/>
      <c r="BA16" s="70"/>
      <c r="BB16" s="43"/>
      <c r="BC16" s="60" t="s">
        <v>138</v>
      </c>
      <c r="BD16" s="43"/>
      <c r="BE16" s="43"/>
      <c r="BF16" s="319"/>
      <c r="BG16" s="44" t="s">
        <v>139</v>
      </c>
      <c r="BH16" s="43"/>
      <c r="BI16" s="44" t="s">
        <v>140</v>
      </c>
      <c r="BJ16" s="46"/>
      <c r="BK16" s="45"/>
      <c r="BL16" s="43"/>
      <c r="BM16" s="43"/>
      <c r="BN16" s="70"/>
      <c r="BO16" s="43"/>
      <c r="BP16" s="60" t="s">
        <v>138</v>
      </c>
      <c r="BQ16" s="43"/>
      <c r="BR16" s="43"/>
      <c r="BS16" s="43"/>
      <c r="BT16" s="44" t="s">
        <v>139</v>
      </c>
      <c r="BU16" s="43"/>
      <c r="BV16" s="44" t="s">
        <v>140</v>
      </c>
      <c r="BW16" s="46"/>
      <c r="BX16" s="6"/>
      <c r="BY16" s="4"/>
      <c r="BZ16" s="4"/>
      <c r="CA16" s="6"/>
      <c r="CB16" s="112" t="s">
        <v>197</v>
      </c>
      <c r="CC16" s="100"/>
      <c r="CD16" s="43"/>
      <c r="CE16" s="71">
        <f>2+4</f>
        <v>6</v>
      </c>
      <c r="CF16" s="65"/>
      <c r="CG16" s="79">
        <v>19.8</v>
      </c>
      <c r="CH16" s="45" t="s">
        <v>28</v>
      </c>
      <c r="CI16" s="65">
        <f t="shared" si="15"/>
        <v>118.80000000000001</v>
      </c>
      <c r="CJ16" s="80">
        <f t="shared" si="16"/>
        <v>594.0000000000001</v>
      </c>
      <c r="CK16" s="6"/>
      <c r="CL16" s="4"/>
      <c r="CM16" s="11"/>
      <c r="CN16" s="6"/>
      <c r="CO16" s="112" t="s">
        <v>198</v>
      </c>
      <c r="CP16" s="100"/>
      <c r="CQ16" s="100"/>
      <c r="CR16" s="71">
        <v>1</v>
      </c>
      <c r="CS16" s="65"/>
      <c r="CT16" s="79">
        <v>81.5</v>
      </c>
      <c r="CU16" s="45" t="s">
        <v>28</v>
      </c>
      <c r="CV16" s="65">
        <f t="shared" si="17"/>
        <v>81.5</v>
      </c>
      <c r="CW16" s="80">
        <f t="shared" si="18"/>
        <v>407.5</v>
      </c>
      <c r="CX16" s="6"/>
      <c r="CY16" s="4"/>
      <c r="CZ16" s="11"/>
      <c r="DA16" s="122"/>
      <c r="DB16" s="112" t="s">
        <v>199</v>
      </c>
      <c r="DC16" s="100"/>
      <c r="DD16" s="43"/>
      <c r="DE16" s="71">
        <v>0</v>
      </c>
      <c r="DF16" s="65">
        <f t="shared" si="19"/>
        <v>260</v>
      </c>
      <c r="DG16" s="79">
        <v>0.56</v>
      </c>
      <c r="DH16" s="45" t="s">
        <v>28</v>
      </c>
      <c r="DI16" s="65">
        <f>(DE16*DF16*DG16)</f>
        <v>0</v>
      </c>
      <c r="DJ16" s="80">
        <f t="shared" si="20"/>
        <v>0</v>
      </c>
      <c r="DK16" s="6"/>
      <c r="DL16" s="4"/>
      <c r="DM16" s="4"/>
      <c r="DN16" s="6"/>
      <c r="DO16" s="112" t="s">
        <v>200</v>
      </c>
      <c r="DP16" s="100"/>
      <c r="DQ16" s="43"/>
      <c r="DR16" s="71">
        <v>0.4</v>
      </c>
      <c r="DS16" s="65">
        <f t="shared" si="21"/>
        <v>0</v>
      </c>
      <c r="DT16" s="79">
        <v>1.25</v>
      </c>
      <c r="DU16" s="45" t="s">
        <v>28</v>
      </c>
      <c r="DV16" s="65">
        <f>(DR16*DS16*DT16)</f>
        <v>0</v>
      </c>
      <c r="DW16" s="80">
        <f t="shared" si="22"/>
        <v>0</v>
      </c>
      <c r="DX16" s="45"/>
      <c r="DY16" s="43"/>
      <c r="DZ16" s="4"/>
      <c r="EA16" s="6"/>
      <c r="EB16" s="112" t="s">
        <v>201</v>
      </c>
      <c r="EC16" s="100"/>
      <c r="ED16" s="100"/>
      <c r="EE16" s="71">
        <v>2</v>
      </c>
      <c r="EF16" s="65">
        <v>8</v>
      </c>
      <c r="EG16" s="79">
        <v>80</v>
      </c>
      <c r="EH16" s="45"/>
      <c r="EI16" s="65">
        <f t="shared" si="23"/>
        <v>1280</v>
      </c>
      <c r="EJ16" s="106">
        <f t="shared" si="24"/>
        <v>6400</v>
      </c>
      <c r="EK16" s="45"/>
      <c r="EL16" s="46"/>
      <c r="EM16" s="43"/>
      <c r="EN16" s="70"/>
      <c r="EO16" s="99" t="s">
        <v>202</v>
      </c>
      <c r="EP16" s="100"/>
      <c r="EQ16" s="100"/>
      <c r="ER16" s="71">
        <v>1</v>
      </c>
      <c r="ES16" s="65">
        <v>6</v>
      </c>
      <c r="ET16" s="79">
        <v>35</v>
      </c>
      <c r="EU16" s="45" t="s">
        <v>28</v>
      </c>
      <c r="EV16" s="65">
        <f t="shared" si="25"/>
        <v>210</v>
      </c>
      <c r="EW16" s="80">
        <f t="shared" si="26"/>
        <v>1050</v>
      </c>
      <c r="EX16" s="45"/>
      <c r="EY16" s="43"/>
      <c r="EZ16" s="43"/>
      <c r="FA16" s="43"/>
      <c r="FB16" s="70"/>
      <c r="FC16" s="99" t="s">
        <v>203</v>
      </c>
      <c r="FD16" s="100"/>
      <c r="FE16" s="100"/>
      <c r="FF16" s="71">
        <v>1</v>
      </c>
      <c r="FG16" s="65">
        <v>1</v>
      </c>
      <c r="FH16" s="79">
        <v>120</v>
      </c>
      <c r="FI16" s="45" t="s">
        <v>28</v>
      </c>
      <c r="FJ16" s="65">
        <f t="shared" si="27"/>
        <v>120</v>
      </c>
      <c r="FK16" s="80">
        <f t="shared" si="28"/>
        <v>600</v>
      </c>
      <c r="FL16" s="6"/>
      <c r="FM16" s="4"/>
      <c r="FN16" s="4"/>
      <c r="FO16" s="70"/>
      <c r="FP16" s="99" t="s">
        <v>204</v>
      </c>
      <c r="FQ16" s="100"/>
      <c r="FR16" s="100"/>
      <c r="FS16" s="71"/>
      <c r="FT16" s="65"/>
      <c r="FU16" s="79">
        <v>720</v>
      </c>
      <c r="FV16" s="45" t="s">
        <v>28</v>
      </c>
      <c r="FW16" s="65">
        <f>(FS16*FT16*FU16)</f>
        <v>0</v>
      </c>
      <c r="FX16" s="80">
        <f>(FW16/$BF$2)*1000</f>
        <v>0</v>
      </c>
      <c r="FY16" s="45"/>
      <c r="FZ16" s="4"/>
      <c r="GA16" s="421"/>
      <c r="GB16" s="70"/>
      <c r="GC16" s="99" t="s">
        <v>205</v>
      </c>
      <c r="GD16" s="100"/>
      <c r="GE16" s="100"/>
      <c r="GF16" s="71"/>
      <c r="GG16" s="65"/>
      <c r="GH16" s="79">
        <v>40</v>
      </c>
      <c r="GI16" s="45" t="s">
        <v>28</v>
      </c>
      <c r="GJ16" s="65">
        <f t="shared" si="29"/>
        <v>0</v>
      </c>
      <c r="GK16" s="80">
        <f t="shared" si="30"/>
        <v>0</v>
      </c>
      <c r="GL16" s="6"/>
      <c r="GM16" s="4"/>
      <c r="GN16" s="417"/>
      <c r="GO16" s="70"/>
      <c r="GP16" s="99" t="s">
        <v>206</v>
      </c>
      <c r="GQ16" s="100"/>
      <c r="GR16" s="100"/>
      <c r="GS16" s="71">
        <v>0</v>
      </c>
      <c r="GT16" s="71">
        <v>0</v>
      </c>
      <c r="GU16" s="141">
        <v>0.012</v>
      </c>
      <c r="GV16" s="45" t="s">
        <v>28</v>
      </c>
      <c r="GW16" s="65">
        <f t="shared" si="31"/>
        <v>0</v>
      </c>
      <c r="GX16" s="106">
        <f t="shared" si="32"/>
        <v>0</v>
      </c>
      <c r="GY16" s="94"/>
      <c r="GZ16" s="13">
        <f>(GS16*GT16*GU16*$GW$7*$GW$8)*(4.81)</f>
        <v>0</v>
      </c>
      <c r="HA16" s="416"/>
      <c r="HB16" s="70"/>
      <c r="HC16" s="99" t="s">
        <v>207</v>
      </c>
      <c r="HD16" s="100"/>
      <c r="HE16" s="100"/>
      <c r="HF16" s="65">
        <v>8</v>
      </c>
      <c r="HG16" s="65">
        <v>1</v>
      </c>
      <c r="HH16" s="141">
        <v>14.7</v>
      </c>
      <c r="HI16" s="45" t="s">
        <v>28</v>
      </c>
      <c r="HJ16" s="65">
        <f t="shared" si="33"/>
        <v>282.24</v>
      </c>
      <c r="HK16" s="80">
        <f aca="true" t="shared" si="35" ref="HK16:HK26">(HJ16/$BF$2)*1000</f>
        <v>1411.2</v>
      </c>
      <c r="HL16" s="6"/>
      <c r="HM16" s="13">
        <f t="shared" si="34"/>
        <v>117.6</v>
      </c>
      <c r="HN16" s="416"/>
      <c r="HO16" s="70"/>
      <c r="HP16" s="99" t="s">
        <v>208</v>
      </c>
      <c r="HQ16" s="100"/>
      <c r="HR16" s="100"/>
      <c r="HS16" s="65">
        <v>1</v>
      </c>
      <c r="HT16" s="65">
        <v>30</v>
      </c>
      <c r="HU16" s="106">
        <v>25</v>
      </c>
      <c r="HV16" s="45" t="s">
        <v>28</v>
      </c>
      <c r="HW16" s="108">
        <f t="shared" si="10"/>
        <v>750</v>
      </c>
      <c r="HX16" s="107">
        <f t="shared" si="14"/>
        <v>3750</v>
      </c>
      <c r="HY16" s="94"/>
      <c r="HZ16" s="4"/>
      <c r="IA16" s="70"/>
      <c r="IB16" s="112" t="s">
        <v>209</v>
      </c>
      <c r="IC16" s="100"/>
      <c r="ID16" s="43"/>
      <c r="IE16" s="65"/>
      <c r="IF16" s="65"/>
      <c r="IG16" s="79">
        <v>80</v>
      </c>
      <c r="IH16" s="45" t="s">
        <v>28</v>
      </c>
      <c r="II16" s="65">
        <f t="shared" si="11"/>
        <v>0</v>
      </c>
      <c r="IJ16" s="106">
        <f t="shared" si="12"/>
        <v>0</v>
      </c>
      <c r="IK16" s="94"/>
      <c r="IL16" s="11">
        <f t="shared" si="0"/>
        <v>90</v>
      </c>
      <c r="IM16" s="13">
        <f t="shared" si="1"/>
        <v>320</v>
      </c>
      <c r="IN16" s="13">
        <f t="shared" si="2"/>
        <v>0</v>
      </c>
      <c r="IO16" s="13">
        <f t="shared" si="9"/>
        <v>15</v>
      </c>
      <c r="IP16" s="13">
        <f t="shared" si="4"/>
        <v>0</v>
      </c>
      <c r="IQ16" s="11">
        <f t="shared" si="5"/>
        <v>0</v>
      </c>
      <c r="IR16" s="11">
        <f t="shared" si="6"/>
        <v>30</v>
      </c>
      <c r="IS16" s="4"/>
      <c r="IT16" s="4"/>
      <c r="IU16" s="6" t="s">
        <v>28</v>
      </c>
      <c r="IV16" s="13">
        <f t="shared" si="13"/>
        <v>0</v>
      </c>
    </row>
    <row r="17" spans="1:256" ht="13.5" thickBot="1">
      <c r="A17" s="225"/>
      <c r="B17" s="204"/>
      <c r="C17" s="24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8"/>
      <c r="P17" s="207"/>
      <c r="Q17" s="208"/>
      <c r="R17" s="209"/>
      <c r="S17" s="59"/>
      <c r="T17" s="44" t="s">
        <v>210</v>
      </c>
      <c r="U17" s="43"/>
      <c r="V17" s="43"/>
      <c r="W17" s="43"/>
      <c r="X17" s="65"/>
      <c r="Y17" s="62">
        <f>(II36)</f>
        <v>2600</v>
      </c>
      <c r="Z17" s="63">
        <f>IF((X17)=0,0,(Y17-X17)/X17)</f>
        <v>0</v>
      </c>
      <c r="AA17" s="6"/>
      <c r="AB17" s="59"/>
      <c r="AC17" s="70"/>
      <c r="AD17" s="43"/>
      <c r="AE17" s="45" t="s">
        <v>211</v>
      </c>
      <c r="AF17" s="43"/>
      <c r="AG17" s="43"/>
      <c r="AH17" s="108">
        <f>(IR55)</f>
        <v>3177.75</v>
      </c>
      <c r="AI17" s="386">
        <f>(DF55)</f>
        <v>0</v>
      </c>
      <c r="AJ17" s="408">
        <f>AH17+AI17</f>
        <v>3177.75</v>
      </c>
      <c r="AK17" s="389" t="s">
        <v>212</v>
      </c>
      <c r="AL17" s="45"/>
      <c r="AM17" s="43"/>
      <c r="AN17" s="70"/>
      <c r="AO17" s="43"/>
      <c r="AP17" s="43"/>
      <c r="AQ17" s="44" t="s">
        <v>213</v>
      </c>
      <c r="AR17" s="43"/>
      <c r="AS17" s="43"/>
      <c r="AT17" s="43"/>
      <c r="AU17" s="58">
        <f>2.29</f>
        <v>2.29</v>
      </c>
      <c r="AV17" s="43"/>
      <c r="AW17" s="94"/>
      <c r="AX17" s="46"/>
      <c r="AY17" s="43"/>
      <c r="AZ17" s="43"/>
      <c r="BA17" s="70"/>
      <c r="BB17" s="43"/>
      <c r="BC17" s="43"/>
      <c r="BD17" s="43"/>
      <c r="BE17" s="43"/>
      <c r="BF17" s="43"/>
      <c r="BG17" s="43"/>
      <c r="BH17" s="45" t="s">
        <v>28</v>
      </c>
      <c r="BI17" s="43"/>
      <c r="BJ17" s="46"/>
      <c r="BK17" s="45"/>
      <c r="BL17" s="43"/>
      <c r="BM17" s="43"/>
      <c r="BN17" s="70"/>
      <c r="BO17" s="43"/>
      <c r="BP17" s="43"/>
      <c r="BQ17" s="43"/>
      <c r="BR17" s="43"/>
      <c r="BS17" s="43"/>
      <c r="BT17" s="43"/>
      <c r="BU17" s="45" t="s">
        <v>28</v>
      </c>
      <c r="BV17" s="43"/>
      <c r="BW17" s="46"/>
      <c r="BX17" s="6"/>
      <c r="BY17" s="4"/>
      <c r="BZ17" s="4"/>
      <c r="CA17" s="6"/>
      <c r="CB17" s="112" t="s">
        <v>214</v>
      </c>
      <c r="CC17" s="100"/>
      <c r="CD17" s="43"/>
      <c r="CE17" s="71">
        <f>2+2+2</f>
        <v>6</v>
      </c>
      <c r="CF17" s="65"/>
      <c r="CG17" s="79">
        <v>25.3</v>
      </c>
      <c r="CH17" s="45" t="s">
        <v>28</v>
      </c>
      <c r="CI17" s="65">
        <f t="shared" si="15"/>
        <v>151.8</v>
      </c>
      <c r="CJ17" s="80">
        <f t="shared" si="16"/>
        <v>759</v>
      </c>
      <c r="CK17" s="6"/>
      <c r="CL17" s="4"/>
      <c r="CM17" s="11"/>
      <c r="CN17" s="6"/>
      <c r="CO17" s="112" t="s">
        <v>215</v>
      </c>
      <c r="CP17" s="100"/>
      <c r="CQ17" s="100"/>
      <c r="CR17" s="71">
        <v>1</v>
      </c>
      <c r="CS17" s="65"/>
      <c r="CT17" s="79">
        <v>32.1</v>
      </c>
      <c r="CU17" s="45" t="s">
        <v>28</v>
      </c>
      <c r="CV17" s="65">
        <f t="shared" si="17"/>
        <v>32.1</v>
      </c>
      <c r="CW17" s="80">
        <f t="shared" si="18"/>
        <v>160.5</v>
      </c>
      <c r="CX17" s="6"/>
      <c r="CY17" s="4"/>
      <c r="CZ17" s="11"/>
      <c r="DA17" s="122"/>
      <c r="DB17" s="112" t="s">
        <v>216</v>
      </c>
      <c r="DC17" s="100"/>
      <c r="DD17" s="43"/>
      <c r="DE17" s="71">
        <v>1</v>
      </c>
      <c r="DF17" s="65">
        <f t="shared" si="19"/>
        <v>260</v>
      </c>
      <c r="DG17" s="79">
        <v>1.3</v>
      </c>
      <c r="DH17" s="45" t="s">
        <v>28</v>
      </c>
      <c r="DI17" s="65">
        <f>(DE17*DF17*DG17)</f>
        <v>338</v>
      </c>
      <c r="DJ17" s="80">
        <f t="shared" si="20"/>
        <v>1690</v>
      </c>
      <c r="DK17" s="6"/>
      <c r="DL17" s="4"/>
      <c r="DM17" s="4"/>
      <c r="DN17" s="6"/>
      <c r="DO17" s="112" t="s">
        <v>216</v>
      </c>
      <c r="DP17" s="100"/>
      <c r="DQ17" s="43"/>
      <c r="DR17" s="71"/>
      <c r="DS17" s="65">
        <f t="shared" si="21"/>
        <v>0</v>
      </c>
      <c r="DT17" s="79">
        <v>1.4</v>
      </c>
      <c r="DU17" s="45" t="s">
        <v>28</v>
      </c>
      <c r="DV17" s="65">
        <f>(DR17*DS17*DT17)</f>
        <v>0</v>
      </c>
      <c r="DW17" s="80">
        <f t="shared" si="22"/>
        <v>0</v>
      </c>
      <c r="DX17" s="45"/>
      <c r="DY17" s="43"/>
      <c r="DZ17" s="4"/>
      <c r="EA17" s="6"/>
      <c r="EB17" s="112" t="s">
        <v>217</v>
      </c>
      <c r="EC17" s="100"/>
      <c r="ED17" s="100"/>
      <c r="EE17" s="71">
        <v>2</v>
      </c>
      <c r="EF17" s="65">
        <v>8</v>
      </c>
      <c r="EG17" s="79">
        <v>50</v>
      </c>
      <c r="EH17" s="45"/>
      <c r="EI17" s="65">
        <f t="shared" si="23"/>
        <v>800</v>
      </c>
      <c r="EJ17" s="106">
        <f t="shared" si="24"/>
        <v>4000</v>
      </c>
      <c r="EK17" s="45"/>
      <c r="EL17" s="46"/>
      <c r="EM17" s="43"/>
      <c r="EN17" s="70"/>
      <c r="EO17" s="99" t="s">
        <v>218</v>
      </c>
      <c r="EP17" s="100"/>
      <c r="EQ17" s="100"/>
      <c r="ER17" s="71">
        <v>2</v>
      </c>
      <c r="ES17" s="65">
        <v>6</v>
      </c>
      <c r="ET17" s="79">
        <v>35</v>
      </c>
      <c r="EU17" s="45" t="s">
        <v>28</v>
      </c>
      <c r="EV17" s="65">
        <f t="shared" si="25"/>
        <v>420</v>
      </c>
      <c r="EW17" s="80">
        <f t="shared" si="26"/>
        <v>2100</v>
      </c>
      <c r="EX17" s="45"/>
      <c r="EY17" s="43"/>
      <c r="EZ17" s="43"/>
      <c r="FA17" s="43"/>
      <c r="FB17" s="70"/>
      <c r="FC17" s="99" t="s">
        <v>219</v>
      </c>
      <c r="FD17" s="100"/>
      <c r="FE17" s="100"/>
      <c r="FF17" s="71">
        <v>1</v>
      </c>
      <c r="FG17" s="65">
        <v>1</v>
      </c>
      <c r="FH17" s="79">
        <v>120</v>
      </c>
      <c r="FI17" s="45" t="s">
        <v>28</v>
      </c>
      <c r="FJ17" s="65">
        <f t="shared" si="27"/>
        <v>120</v>
      </c>
      <c r="FK17" s="80">
        <f t="shared" si="28"/>
        <v>600</v>
      </c>
      <c r="FL17" s="6"/>
      <c r="FM17" s="4"/>
      <c r="FN17" s="4"/>
      <c r="FO17" s="70"/>
      <c r="FP17" s="99" t="s">
        <v>220</v>
      </c>
      <c r="FQ17" s="100"/>
      <c r="FR17" s="100"/>
      <c r="FS17" s="71"/>
      <c r="FT17" s="65"/>
      <c r="FU17" s="79">
        <v>120</v>
      </c>
      <c r="FV17" s="45" t="s">
        <v>28</v>
      </c>
      <c r="FW17" s="65">
        <f>(FS17*FT17*FU17)</f>
        <v>0</v>
      </c>
      <c r="FX17" s="80">
        <f>(FW17/$BF$2)*1000</f>
        <v>0</v>
      </c>
      <c r="FY17" s="45"/>
      <c r="FZ17" s="4"/>
      <c r="GA17" s="421"/>
      <c r="GB17" s="70"/>
      <c r="GC17" s="99" t="s">
        <v>221</v>
      </c>
      <c r="GD17" s="100"/>
      <c r="GE17" s="100"/>
      <c r="GF17" s="71">
        <v>0</v>
      </c>
      <c r="GG17" s="65">
        <v>1</v>
      </c>
      <c r="GH17" s="79">
        <v>35</v>
      </c>
      <c r="GI17" s="45" t="s">
        <v>28</v>
      </c>
      <c r="GJ17" s="65">
        <f t="shared" si="29"/>
        <v>0</v>
      </c>
      <c r="GK17" s="80">
        <f t="shared" si="30"/>
        <v>0</v>
      </c>
      <c r="GL17" s="6"/>
      <c r="GM17" s="4"/>
      <c r="GN17" s="417"/>
      <c r="GO17" s="70"/>
      <c r="GP17" s="99" t="s">
        <v>222</v>
      </c>
      <c r="GQ17" s="100"/>
      <c r="GR17" s="100"/>
      <c r="GS17" s="71">
        <v>0</v>
      </c>
      <c r="GT17" s="71">
        <v>0.4</v>
      </c>
      <c r="GU17" s="141">
        <v>0.02</v>
      </c>
      <c r="GV17" s="45" t="s">
        <v>28</v>
      </c>
      <c r="GW17" s="65">
        <f t="shared" si="31"/>
        <v>0</v>
      </c>
      <c r="GX17" s="106">
        <f t="shared" si="32"/>
        <v>0</v>
      </c>
      <c r="GY17" s="94"/>
      <c r="GZ17" s="13">
        <f>(GS17*GT17*GU17*$GW$7*$GW$8)*(5.83)</f>
        <v>0</v>
      </c>
      <c r="HA17" s="416"/>
      <c r="HB17" s="70"/>
      <c r="HC17" s="99" t="s">
        <v>223</v>
      </c>
      <c r="HD17" s="100"/>
      <c r="HE17" s="100"/>
      <c r="HF17" s="65">
        <v>4</v>
      </c>
      <c r="HG17" s="65">
        <v>2</v>
      </c>
      <c r="HH17" s="141">
        <v>20.12</v>
      </c>
      <c r="HI17" s="45" t="s">
        <v>28</v>
      </c>
      <c r="HJ17" s="65">
        <f t="shared" si="33"/>
        <v>386.304</v>
      </c>
      <c r="HK17" s="80">
        <f t="shared" si="35"/>
        <v>1931.52</v>
      </c>
      <c r="HL17" s="6"/>
      <c r="HM17" s="13">
        <f t="shared" si="34"/>
        <v>160.96</v>
      </c>
      <c r="HN17" s="416"/>
      <c r="HO17" s="70"/>
      <c r="HP17" s="99" t="s">
        <v>224</v>
      </c>
      <c r="HQ17" s="100"/>
      <c r="HR17" s="100"/>
      <c r="HS17" s="65">
        <v>1</v>
      </c>
      <c r="HT17" s="65">
        <v>30</v>
      </c>
      <c r="HU17" s="106">
        <v>30</v>
      </c>
      <c r="HV17" s="45" t="s">
        <v>28</v>
      </c>
      <c r="HW17" s="108">
        <f t="shared" si="10"/>
        <v>900</v>
      </c>
      <c r="HX17" s="107">
        <f t="shared" si="14"/>
        <v>4500</v>
      </c>
      <c r="HY17" s="94"/>
      <c r="HZ17" s="4"/>
      <c r="IA17" s="70"/>
      <c r="IB17" s="112" t="s">
        <v>225</v>
      </c>
      <c r="IC17" s="100"/>
      <c r="ID17" s="43"/>
      <c r="IE17" s="65"/>
      <c r="IF17" s="65"/>
      <c r="IG17" s="79">
        <v>1.25</v>
      </c>
      <c r="IH17" s="45" t="s">
        <v>28</v>
      </c>
      <c r="II17" s="65">
        <f t="shared" si="11"/>
        <v>0</v>
      </c>
      <c r="IJ17" s="106">
        <f t="shared" si="12"/>
        <v>0</v>
      </c>
      <c r="IK17" s="94"/>
      <c r="IL17" s="11">
        <f t="shared" si="0"/>
        <v>36</v>
      </c>
      <c r="IM17" s="13">
        <f t="shared" si="1"/>
        <v>160</v>
      </c>
      <c r="IN17" s="13">
        <f t="shared" si="2"/>
        <v>108</v>
      </c>
      <c r="IO17" s="13">
        <f t="shared" si="9"/>
        <v>112</v>
      </c>
      <c r="IP17" s="13">
        <f t="shared" si="4"/>
        <v>159.6</v>
      </c>
      <c r="IQ17" s="11">
        <f t="shared" si="5"/>
        <v>272</v>
      </c>
      <c r="IR17" s="11">
        <f t="shared" si="6"/>
        <v>240</v>
      </c>
      <c r="IS17" s="4"/>
      <c r="IT17" s="4"/>
      <c r="IU17" s="6" t="s">
        <v>28</v>
      </c>
      <c r="IV17" s="13">
        <f t="shared" si="13"/>
        <v>0</v>
      </c>
    </row>
    <row r="18" spans="1:256" ht="21" thickBot="1">
      <c r="A18" s="225"/>
      <c r="B18" s="204"/>
      <c r="C18" s="245"/>
      <c r="D18" s="205"/>
      <c r="E18" s="205"/>
      <c r="F18" s="205"/>
      <c r="G18" s="577" t="s">
        <v>226</v>
      </c>
      <c r="H18" s="536" t="s">
        <v>227</v>
      </c>
      <c r="I18" s="537"/>
      <c r="J18" s="537"/>
      <c r="K18" s="538"/>
      <c r="L18" s="539"/>
      <c r="M18" s="578" t="s">
        <v>228</v>
      </c>
      <c r="N18" s="205"/>
      <c r="O18" s="208"/>
      <c r="P18" s="207"/>
      <c r="Q18" s="208"/>
      <c r="R18" s="209"/>
      <c r="S18" s="59"/>
      <c r="T18" s="44" t="s">
        <v>229</v>
      </c>
      <c r="U18" s="43"/>
      <c r="V18" s="43"/>
      <c r="W18" s="43"/>
      <c r="X18" s="65"/>
      <c r="Y18" s="62">
        <f>(II113)</f>
        <v>2038</v>
      </c>
      <c r="Z18" s="63">
        <f>IF((X18)=0,0,(Y18-X18)/X18)</f>
        <v>0</v>
      </c>
      <c r="AA18" s="6"/>
      <c r="AB18" s="59"/>
      <c r="AC18" s="70"/>
      <c r="AD18" s="43"/>
      <c r="AE18" s="43"/>
      <c r="AF18" s="43"/>
      <c r="AG18" s="43"/>
      <c r="AH18" s="108"/>
      <c r="AI18" s="386"/>
      <c r="AJ18" s="408"/>
      <c r="AK18" s="266"/>
      <c r="AL18" s="45"/>
      <c r="AM18" s="43"/>
      <c r="AN18" s="70"/>
      <c r="AO18" s="43"/>
      <c r="AP18" s="43"/>
      <c r="AQ18" s="43"/>
      <c r="AR18" s="43"/>
      <c r="AS18" s="43"/>
      <c r="AT18" s="43"/>
      <c r="AU18" s="43"/>
      <c r="AV18" s="43"/>
      <c r="AW18" s="94"/>
      <c r="AX18" s="46"/>
      <c r="AY18" s="43"/>
      <c r="AZ18" s="43"/>
      <c r="BA18" s="70"/>
      <c r="BB18" s="99" t="s">
        <v>230</v>
      </c>
      <c r="BC18" s="100"/>
      <c r="BD18" s="100"/>
      <c r="BE18" s="315">
        <f>(BD4)</f>
        <v>15</v>
      </c>
      <c r="BF18" s="317">
        <f>(BE18)*(BI13)</f>
        <v>16389.84144</v>
      </c>
      <c r="BG18" s="79">
        <f>(BJ11)</f>
        <v>0.012</v>
      </c>
      <c r="BH18" s="45" t="s">
        <v>28</v>
      </c>
      <c r="BI18" s="65">
        <f>(BF18*BG18)</f>
        <v>196.67809728</v>
      </c>
      <c r="BJ18" s="80">
        <f aca="true" t="shared" si="36" ref="BJ18:BJ53">(BI18/$BF$2)*1000</f>
        <v>983.3904864</v>
      </c>
      <c r="BK18" s="45"/>
      <c r="BL18" s="43"/>
      <c r="BM18" s="43"/>
      <c r="BN18" s="70"/>
      <c r="BO18" s="47" t="s">
        <v>231</v>
      </c>
      <c r="BP18" s="43"/>
      <c r="BQ18" s="317">
        <f>($BR$9)</f>
        <v>350</v>
      </c>
      <c r="BR18" s="43"/>
      <c r="BS18" s="43"/>
      <c r="BT18" s="43"/>
      <c r="BU18" s="45" t="s">
        <v>28</v>
      </c>
      <c r="BV18" s="43"/>
      <c r="BW18" s="87"/>
      <c r="BX18" s="6"/>
      <c r="BY18" s="4"/>
      <c r="BZ18" s="4"/>
      <c r="CA18" s="6"/>
      <c r="CB18" s="112" t="s">
        <v>232</v>
      </c>
      <c r="CC18" s="100"/>
      <c r="CD18" s="43"/>
      <c r="CE18" s="71"/>
      <c r="CF18" s="65"/>
      <c r="CG18" s="79">
        <v>30.8</v>
      </c>
      <c r="CH18" s="45" t="s">
        <v>28</v>
      </c>
      <c r="CI18" s="65">
        <f t="shared" si="15"/>
        <v>0</v>
      </c>
      <c r="CJ18" s="80">
        <f t="shared" si="16"/>
        <v>0</v>
      </c>
      <c r="CK18" s="6"/>
      <c r="CL18" s="4"/>
      <c r="CM18" s="11"/>
      <c r="CN18" s="6"/>
      <c r="CO18" s="112" t="s">
        <v>233</v>
      </c>
      <c r="CP18" s="100"/>
      <c r="CQ18" s="100"/>
      <c r="CR18" s="71">
        <v>16</v>
      </c>
      <c r="CS18" s="65"/>
      <c r="CT18" s="79">
        <v>2.57</v>
      </c>
      <c r="CU18" s="45" t="s">
        <v>28</v>
      </c>
      <c r="CV18" s="65">
        <f t="shared" si="17"/>
        <v>41.12</v>
      </c>
      <c r="CW18" s="80">
        <f t="shared" si="18"/>
        <v>205.59999999999997</v>
      </c>
      <c r="CX18" s="6"/>
      <c r="CY18" s="4"/>
      <c r="CZ18" s="11"/>
      <c r="DA18" s="122"/>
      <c r="DB18" s="112" t="s">
        <v>234</v>
      </c>
      <c r="DC18" s="100"/>
      <c r="DD18" s="43"/>
      <c r="DE18" s="71">
        <v>0</v>
      </c>
      <c r="DF18" s="65">
        <f t="shared" si="19"/>
        <v>260</v>
      </c>
      <c r="DG18" s="79">
        <v>0.225</v>
      </c>
      <c r="DH18" s="45" t="s">
        <v>28</v>
      </c>
      <c r="DI18" s="65">
        <f>(DE18*DF18*DG18)</f>
        <v>0</v>
      </c>
      <c r="DJ18" s="80">
        <f t="shared" si="20"/>
        <v>0</v>
      </c>
      <c r="DK18" s="6"/>
      <c r="DL18" s="4"/>
      <c r="DM18" s="4"/>
      <c r="DN18" s="6"/>
      <c r="DO18" s="112" t="s">
        <v>235</v>
      </c>
      <c r="DP18" s="100"/>
      <c r="DQ18" s="43"/>
      <c r="DR18" s="71"/>
      <c r="DS18" s="65">
        <f t="shared" si="21"/>
        <v>0</v>
      </c>
      <c r="DT18" s="79">
        <f>DT17*1.3</f>
        <v>1.8199999999999998</v>
      </c>
      <c r="DU18" s="45" t="s">
        <v>28</v>
      </c>
      <c r="DV18" s="65">
        <f>(DR18*DS18*DT18)</f>
        <v>0</v>
      </c>
      <c r="DW18" s="80">
        <f t="shared" si="22"/>
        <v>0</v>
      </c>
      <c r="DX18" s="45"/>
      <c r="DY18" s="43"/>
      <c r="DZ18" s="4"/>
      <c r="EA18" s="6"/>
      <c r="EB18" s="112" t="s">
        <v>236</v>
      </c>
      <c r="EC18" s="100"/>
      <c r="ED18" s="100"/>
      <c r="EE18" s="71">
        <v>0</v>
      </c>
      <c r="EF18" s="65">
        <v>1</v>
      </c>
      <c r="EG18" s="79">
        <v>550</v>
      </c>
      <c r="EH18" s="45"/>
      <c r="EI18" s="65">
        <f t="shared" si="23"/>
        <v>0</v>
      </c>
      <c r="EJ18" s="106">
        <f t="shared" si="24"/>
        <v>0</v>
      </c>
      <c r="EK18" s="45"/>
      <c r="EL18" s="46"/>
      <c r="EM18" s="43"/>
      <c r="EN18" s="70"/>
      <c r="EO18" s="99" t="s">
        <v>237</v>
      </c>
      <c r="EP18" s="100"/>
      <c r="EQ18" s="100"/>
      <c r="ER18" s="71">
        <v>1</v>
      </c>
      <c r="ES18" s="65">
        <v>4</v>
      </c>
      <c r="ET18" s="79">
        <v>65</v>
      </c>
      <c r="EU18" s="45" t="s">
        <v>28</v>
      </c>
      <c r="EV18" s="65">
        <f t="shared" si="25"/>
        <v>260</v>
      </c>
      <c r="EW18" s="80">
        <f t="shared" si="26"/>
        <v>1300</v>
      </c>
      <c r="EX18" s="45"/>
      <c r="EY18" s="43"/>
      <c r="EZ18" s="43"/>
      <c r="FA18" s="43"/>
      <c r="FB18" s="70"/>
      <c r="FC18" s="99" t="s">
        <v>238</v>
      </c>
      <c r="FD18" s="100"/>
      <c r="FE18" s="100"/>
      <c r="FF18" s="71">
        <v>1</v>
      </c>
      <c r="FG18" s="65">
        <v>2</v>
      </c>
      <c r="FH18" s="79">
        <v>60</v>
      </c>
      <c r="FI18" s="45" t="s">
        <v>28</v>
      </c>
      <c r="FJ18" s="65">
        <f t="shared" si="27"/>
        <v>120</v>
      </c>
      <c r="FK18" s="80">
        <f t="shared" si="28"/>
        <v>600</v>
      </c>
      <c r="FL18" s="6"/>
      <c r="FM18" s="4"/>
      <c r="FN18" s="4"/>
      <c r="FO18" s="70"/>
      <c r="FP18" s="99" t="s">
        <v>239</v>
      </c>
      <c r="FQ18" s="100"/>
      <c r="FR18" s="100"/>
      <c r="FS18" s="71"/>
      <c r="FT18" s="65"/>
      <c r="FU18" s="79">
        <v>80</v>
      </c>
      <c r="FV18" s="45" t="s">
        <v>28</v>
      </c>
      <c r="FW18" s="65">
        <f>(FS18*FT18*FU18)</f>
        <v>0</v>
      </c>
      <c r="FX18" s="80">
        <f>(FW18/$BF$2)*1000</f>
        <v>0</v>
      </c>
      <c r="FY18" s="45"/>
      <c r="FZ18" s="4"/>
      <c r="GA18" s="421"/>
      <c r="GB18" s="70"/>
      <c r="GC18" s="99" t="s">
        <v>240</v>
      </c>
      <c r="GD18" s="100"/>
      <c r="GE18" s="100"/>
      <c r="GF18" s="71">
        <v>0</v>
      </c>
      <c r="GG18" s="65">
        <v>1</v>
      </c>
      <c r="GH18" s="79">
        <v>30</v>
      </c>
      <c r="GI18" s="45" t="s">
        <v>28</v>
      </c>
      <c r="GJ18" s="65">
        <f t="shared" si="29"/>
        <v>0</v>
      </c>
      <c r="GK18" s="80">
        <f t="shared" si="30"/>
        <v>0</v>
      </c>
      <c r="GL18" s="6"/>
      <c r="GM18" s="4"/>
      <c r="GN18" s="417"/>
      <c r="GO18" s="70"/>
      <c r="GP18" s="99" t="s">
        <v>241</v>
      </c>
      <c r="GQ18" s="100"/>
      <c r="GR18" s="100"/>
      <c r="GS18" s="71">
        <v>0</v>
      </c>
      <c r="GT18" s="71">
        <v>4</v>
      </c>
      <c r="GU18" s="141">
        <v>0.015</v>
      </c>
      <c r="GV18" s="45" t="s">
        <v>28</v>
      </c>
      <c r="GW18" s="65">
        <f t="shared" si="31"/>
        <v>0</v>
      </c>
      <c r="GX18" s="106">
        <f t="shared" si="32"/>
        <v>0</v>
      </c>
      <c r="GY18" s="94"/>
      <c r="GZ18" s="13">
        <f>(GS18*GT18*GU18*$GW$7*$GW$8)*(6.92)</f>
        <v>0</v>
      </c>
      <c r="HA18" s="416"/>
      <c r="HB18" s="70"/>
      <c r="HC18" s="99" t="s">
        <v>242</v>
      </c>
      <c r="HD18" s="100"/>
      <c r="HE18" s="100"/>
      <c r="HF18" s="65"/>
      <c r="HG18" s="65"/>
      <c r="HH18" s="141">
        <v>25.3</v>
      </c>
      <c r="HI18" s="45" t="s">
        <v>28</v>
      </c>
      <c r="HJ18" s="65">
        <f t="shared" si="33"/>
        <v>0</v>
      </c>
      <c r="HK18" s="80">
        <f t="shared" si="35"/>
        <v>0</v>
      </c>
      <c r="HL18" s="6"/>
      <c r="HM18" s="13">
        <f t="shared" si="34"/>
        <v>0</v>
      </c>
      <c r="HN18" s="416"/>
      <c r="HO18" s="70"/>
      <c r="HP18" s="99" t="s">
        <v>243</v>
      </c>
      <c r="HQ18" s="100"/>
      <c r="HR18" s="100"/>
      <c r="HS18" s="65">
        <v>1</v>
      </c>
      <c r="HT18" s="65">
        <v>50</v>
      </c>
      <c r="HU18" s="106">
        <v>10</v>
      </c>
      <c r="HV18" s="45" t="s">
        <v>28</v>
      </c>
      <c r="HW18" s="108">
        <f t="shared" si="10"/>
        <v>500</v>
      </c>
      <c r="HX18" s="107">
        <f t="shared" si="14"/>
        <v>2500</v>
      </c>
      <c r="HY18" s="94"/>
      <c r="HZ18" s="4"/>
      <c r="IA18" s="70"/>
      <c r="IB18" s="112" t="s">
        <v>244</v>
      </c>
      <c r="IC18" s="100"/>
      <c r="ID18" s="43"/>
      <c r="IE18" s="65"/>
      <c r="IF18" s="65"/>
      <c r="IG18" s="79">
        <v>1.6</v>
      </c>
      <c r="IH18" s="45" t="s">
        <v>28</v>
      </c>
      <c r="II18" s="65">
        <f t="shared" si="11"/>
        <v>0</v>
      </c>
      <c r="IJ18" s="106">
        <f t="shared" si="12"/>
        <v>0</v>
      </c>
      <c r="IK18" s="94"/>
      <c r="IL18" s="11">
        <f t="shared" si="0"/>
        <v>150</v>
      </c>
      <c r="IM18" s="13">
        <f t="shared" si="1"/>
        <v>240</v>
      </c>
      <c r="IN18" s="13">
        <f t="shared" si="2"/>
        <v>24</v>
      </c>
      <c r="IO18" s="13">
        <f t="shared" si="9"/>
        <v>503</v>
      </c>
      <c r="IP18" s="13">
        <f t="shared" si="4"/>
        <v>32.56</v>
      </c>
      <c r="IQ18" s="11">
        <f t="shared" si="5"/>
        <v>90</v>
      </c>
      <c r="IR18" s="11">
        <f t="shared" si="6"/>
        <v>0</v>
      </c>
      <c r="IS18" s="4"/>
      <c r="IT18" s="4"/>
      <c r="IU18" s="6" t="s">
        <v>28</v>
      </c>
      <c r="IV18" s="13">
        <f t="shared" si="13"/>
        <v>0</v>
      </c>
    </row>
    <row r="19" spans="1:256" ht="12.75">
      <c r="A19" s="225"/>
      <c r="B19" s="204"/>
      <c r="C19" s="24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8"/>
      <c r="P19" s="207"/>
      <c r="Q19" s="208"/>
      <c r="R19" s="209"/>
      <c r="S19" s="59"/>
      <c r="T19" s="43"/>
      <c r="U19" s="43"/>
      <c r="V19" s="43"/>
      <c r="W19" s="43"/>
      <c r="X19" s="65"/>
      <c r="Y19" s="65"/>
      <c r="Z19" s="64"/>
      <c r="AA19" s="6"/>
      <c r="AB19" s="59"/>
      <c r="AC19" s="70"/>
      <c r="AD19" s="43"/>
      <c r="AE19" s="45" t="s">
        <v>245</v>
      </c>
      <c r="AF19" s="43"/>
      <c r="AG19" s="43"/>
      <c r="AH19" s="108">
        <f>(IT55)</f>
        <v>0</v>
      </c>
      <c r="AI19" s="386">
        <f>(DS55)</f>
        <v>4097.46</v>
      </c>
      <c r="AJ19" s="408">
        <f>AH19+AI19</f>
        <v>4097.46</v>
      </c>
      <c r="AK19" s="389" t="s">
        <v>246</v>
      </c>
      <c r="AL19" s="45"/>
      <c r="AM19" s="43"/>
      <c r="AN19" s="70"/>
      <c r="AO19" s="43"/>
      <c r="AP19" s="43"/>
      <c r="AQ19" s="44" t="s">
        <v>247</v>
      </c>
      <c r="AR19" s="43"/>
      <c r="AS19" s="43"/>
      <c r="AT19" s="43"/>
      <c r="AU19" s="58">
        <f>700.67</f>
        <v>700.67</v>
      </c>
      <c r="AV19" s="43" t="s">
        <v>248</v>
      </c>
      <c r="AW19" s="94"/>
      <c r="AX19" s="46"/>
      <c r="AY19" s="43"/>
      <c r="AZ19" s="43"/>
      <c r="BA19" s="70"/>
      <c r="BB19" s="99" t="s">
        <v>249</v>
      </c>
      <c r="BC19" s="100"/>
      <c r="BD19" s="100"/>
      <c r="BE19" s="71">
        <v>1</v>
      </c>
      <c r="BF19" s="65">
        <v>1</v>
      </c>
      <c r="BG19" s="79">
        <v>80</v>
      </c>
      <c r="BH19" s="45" t="s">
        <v>28</v>
      </c>
      <c r="BI19" s="65">
        <f>(BE19*BF19*BG19)</f>
        <v>80</v>
      </c>
      <c r="BJ19" s="80">
        <f t="shared" si="36"/>
        <v>400</v>
      </c>
      <c r="BK19" s="45"/>
      <c r="BL19" s="43"/>
      <c r="BM19" s="58"/>
      <c r="BN19" s="70"/>
      <c r="BO19" s="99" t="s">
        <v>250</v>
      </c>
      <c r="BP19" s="100"/>
      <c r="BQ19" s="43"/>
      <c r="BR19" s="71">
        <v>1</v>
      </c>
      <c r="BS19" s="65">
        <f aca="true" t="shared" si="37" ref="BS19:BS25">($BR$9)</f>
        <v>350</v>
      </c>
      <c r="BT19" s="79">
        <v>0.3</v>
      </c>
      <c r="BU19" s="45" t="s">
        <v>28</v>
      </c>
      <c r="BV19" s="65">
        <f aca="true" t="shared" si="38" ref="BV19:BV24">(BR19*BS19*BT19)</f>
        <v>105</v>
      </c>
      <c r="BW19" s="80">
        <f aca="true" t="shared" si="39" ref="BW19:BW25">(BV19/$BF$2)*1000</f>
        <v>525</v>
      </c>
      <c r="BX19" s="6"/>
      <c r="BY19" s="4"/>
      <c r="BZ19" s="4"/>
      <c r="CA19" s="6"/>
      <c r="CB19" s="112" t="s">
        <v>251</v>
      </c>
      <c r="CC19" s="100"/>
      <c r="CD19" s="43"/>
      <c r="CE19" s="71"/>
      <c r="CF19" s="65"/>
      <c r="CG19" s="79">
        <v>38.7</v>
      </c>
      <c r="CH19" s="45" t="s">
        <v>28</v>
      </c>
      <c r="CI19" s="65">
        <f t="shared" si="15"/>
        <v>0</v>
      </c>
      <c r="CJ19" s="80">
        <f t="shared" si="16"/>
        <v>0</v>
      </c>
      <c r="CK19" s="6"/>
      <c r="CL19" s="4"/>
      <c r="CM19" s="11"/>
      <c r="CN19" s="6"/>
      <c r="CO19" s="112" t="s">
        <v>252</v>
      </c>
      <c r="CP19" s="100"/>
      <c r="CQ19" s="100"/>
      <c r="CR19" s="71">
        <v>6</v>
      </c>
      <c r="CS19" s="65"/>
      <c r="CT19" s="79">
        <v>16</v>
      </c>
      <c r="CU19" s="45" t="s">
        <v>28</v>
      </c>
      <c r="CV19" s="65">
        <f t="shared" si="17"/>
        <v>96</v>
      </c>
      <c r="CW19" s="80">
        <f t="shared" si="18"/>
        <v>480</v>
      </c>
      <c r="CX19" s="6"/>
      <c r="CY19" s="4"/>
      <c r="CZ19" s="11"/>
      <c r="DA19" s="122"/>
      <c r="DB19" s="112" t="s">
        <v>253</v>
      </c>
      <c r="DC19" s="100"/>
      <c r="DD19" s="43"/>
      <c r="DE19" s="71">
        <v>4</v>
      </c>
      <c r="DF19" s="65">
        <f t="shared" si="19"/>
        <v>260</v>
      </c>
      <c r="DG19" s="79">
        <v>0.05</v>
      </c>
      <c r="DH19" s="45" t="s">
        <v>28</v>
      </c>
      <c r="DI19" s="65">
        <f>(DE19*DF19*DG19)</f>
        <v>52</v>
      </c>
      <c r="DJ19" s="80">
        <f t="shared" si="20"/>
        <v>260</v>
      </c>
      <c r="DK19" s="6"/>
      <c r="DL19" s="4"/>
      <c r="DM19" s="4"/>
      <c r="DN19" s="6"/>
      <c r="DO19" s="112" t="s">
        <v>253</v>
      </c>
      <c r="DP19" s="100"/>
      <c r="DQ19" s="43"/>
      <c r="DR19" s="71">
        <f>3*0.4</f>
        <v>1.2000000000000002</v>
      </c>
      <c r="DS19" s="65">
        <f t="shared" si="21"/>
        <v>0</v>
      </c>
      <c r="DT19" s="79">
        <v>0.056</v>
      </c>
      <c r="DU19" s="45" t="s">
        <v>28</v>
      </c>
      <c r="DV19" s="65">
        <f>(DR19*DS19*DT19)</f>
        <v>0</v>
      </c>
      <c r="DW19" s="80">
        <f t="shared" si="22"/>
        <v>0</v>
      </c>
      <c r="DX19" s="45"/>
      <c r="DY19" s="43"/>
      <c r="DZ19" s="4"/>
      <c r="EA19" s="6"/>
      <c r="EB19" s="112" t="s">
        <v>254</v>
      </c>
      <c r="EC19" s="100"/>
      <c r="ED19" s="100"/>
      <c r="EE19" s="71">
        <v>1</v>
      </c>
      <c r="EF19" s="65">
        <v>2</v>
      </c>
      <c r="EG19" s="79">
        <v>120</v>
      </c>
      <c r="EH19" s="45"/>
      <c r="EI19" s="65">
        <f t="shared" si="23"/>
        <v>240</v>
      </c>
      <c r="EJ19" s="106">
        <f t="shared" si="24"/>
        <v>1200</v>
      </c>
      <c r="EK19" s="45"/>
      <c r="EL19" s="46"/>
      <c r="EM19" s="43"/>
      <c r="EN19" s="70"/>
      <c r="EO19" s="99" t="s">
        <v>255</v>
      </c>
      <c r="EP19" s="100"/>
      <c r="EQ19" s="100"/>
      <c r="ER19" s="71">
        <v>1</v>
      </c>
      <c r="ES19" s="65">
        <v>2</v>
      </c>
      <c r="ET19" s="79">
        <v>35</v>
      </c>
      <c r="EU19" s="45" t="s">
        <v>28</v>
      </c>
      <c r="EV19" s="65">
        <f t="shared" si="25"/>
        <v>70</v>
      </c>
      <c r="EW19" s="80">
        <f t="shared" si="26"/>
        <v>350</v>
      </c>
      <c r="EX19" s="45"/>
      <c r="EY19" s="43"/>
      <c r="EZ19" s="43"/>
      <c r="FA19" s="43"/>
      <c r="FB19" s="70"/>
      <c r="FC19" s="99" t="s">
        <v>256</v>
      </c>
      <c r="FD19" s="100"/>
      <c r="FE19" s="100"/>
      <c r="FF19" s="71">
        <v>1</v>
      </c>
      <c r="FG19" s="65">
        <v>24</v>
      </c>
      <c r="FH19" s="79">
        <v>6</v>
      </c>
      <c r="FI19" s="45" t="s">
        <v>28</v>
      </c>
      <c r="FJ19" s="65">
        <f>(FF19*FG19*FH19)</f>
        <v>144</v>
      </c>
      <c r="FK19" s="80">
        <f t="shared" si="28"/>
        <v>720</v>
      </c>
      <c r="FL19" s="6"/>
      <c r="FM19" s="4"/>
      <c r="FN19" s="4"/>
      <c r="FO19" s="70"/>
      <c r="FP19" s="99" t="s">
        <v>257</v>
      </c>
      <c r="FQ19" s="100"/>
      <c r="FR19" s="100"/>
      <c r="FS19" s="71"/>
      <c r="FT19" s="65"/>
      <c r="FU19" s="79">
        <v>320</v>
      </c>
      <c r="FV19" s="45" t="s">
        <v>28</v>
      </c>
      <c r="FW19" s="65">
        <f>(FS19*FT19*FU19)</f>
        <v>0</v>
      </c>
      <c r="FX19" s="80">
        <f>(FW19/$BF$2)*1000</f>
        <v>0</v>
      </c>
      <c r="FY19" s="45"/>
      <c r="FZ19" s="4"/>
      <c r="GA19" s="421"/>
      <c r="GB19" s="70"/>
      <c r="GC19" s="99" t="s">
        <v>258</v>
      </c>
      <c r="GD19" s="100"/>
      <c r="GE19" s="100"/>
      <c r="GF19" s="71">
        <v>0</v>
      </c>
      <c r="GG19" s="65">
        <v>1</v>
      </c>
      <c r="GH19" s="79">
        <v>30</v>
      </c>
      <c r="GI19" s="45" t="s">
        <v>28</v>
      </c>
      <c r="GJ19" s="65">
        <f t="shared" si="29"/>
        <v>0</v>
      </c>
      <c r="GK19" s="80">
        <f t="shared" si="30"/>
        <v>0</v>
      </c>
      <c r="GL19" s="6"/>
      <c r="GM19" s="4"/>
      <c r="GN19" s="417"/>
      <c r="GO19" s="70"/>
      <c r="GP19" s="99" t="s">
        <v>259</v>
      </c>
      <c r="GQ19" s="100"/>
      <c r="GR19" s="100"/>
      <c r="GS19" s="71">
        <v>0</v>
      </c>
      <c r="GT19" s="71">
        <v>1</v>
      </c>
      <c r="GU19" s="141">
        <v>0.016</v>
      </c>
      <c r="GV19" s="45" t="s">
        <v>28</v>
      </c>
      <c r="GW19" s="65">
        <f t="shared" si="31"/>
        <v>0</v>
      </c>
      <c r="GX19" s="106">
        <f t="shared" si="32"/>
        <v>0</v>
      </c>
      <c r="GY19" s="94"/>
      <c r="GZ19" s="13">
        <f>(GS19*GT19*GU19*$GW$7*$GW$8)*(6.73)</f>
        <v>0</v>
      </c>
      <c r="HA19" s="416"/>
      <c r="HB19" s="70"/>
      <c r="HC19" s="99" t="s">
        <v>260</v>
      </c>
      <c r="HD19" s="100"/>
      <c r="HE19" s="100"/>
      <c r="HF19" s="65"/>
      <c r="HG19" s="65"/>
      <c r="HH19" s="141">
        <v>35.87</v>
      </c>
      <c r="HI19" s="45" t="s">
        <v>28</v>
      </c>
      <c r="HJ19" s="65">
        <f t="shared" si="33"/>
        <v>0</v>
      </c>
      <c r="HK19" s="80">
        <f t="shared" si="35"/>
        <v>0</v>
      </c>
      <c r="HL19" s="6"/>
      <c r="HM19" s="13">
        <f t="shared" si="34"/>
        <v>0</v>
      </c>
      <c r="HN19" s="416"/>
      <c r="HO19" s="70"/>
      <c r="HP19" s="99" t="s">
        <v>261</v>
      </c>
      <c r="HQ19" s="100"/>
      <c r="HR19" s="100"/>
      <c r="HS19" s="65">
        <v>1</v>
      </c>
      <c r="HT19" s="65">
        <v>5</v>
      </c>
      <c r="HU19" s="106">
        <v>15</v>
      </c>
      <c r="HV19" s="45" t="s">
        <v>28</v>
      </c>
      <c r="HW19" s="108">
        <f t="shared" si="10"/>
        <v>75</v>
      </c>
      <c r="HX19" s="107">
        <f t="shared" si="14"/>
        <v>375</v>
      </c>
      <c r="HY19" s="94"/>
      <c r="HZ19" s="4"/>
      <c r="IA19" s="70"/>
      <c r="IB19" s="112" t="s">
        <v>262</v>
      </c>
      <c r="IC19" s="100"/>
      <c r="ID19" s="43"/>
      <c r="IE19" s="43"/>
      <c r="IF19" s="147"/>
      <c r="IG19" s="119">
        <f>SUM(II13:II18)</f>
        <v>0</v>
      </c>
      <c r="IH19" s="45" t="s">
        <v>28</v>
      </c>
      <c r="II19" s="62">
        <f>(IF19*IG19)</f>
        <v>0</v>
      </c>
      <c r="IJ19" s="153">
        <f t="shared" si="12"/>
        <v>0</v>
      </c>
      <c r="IK19" s="94"/>
      <c r="IL19" s="11">
        <f t="shared" si="0"/>
        <v>40</v>
      </c>
      <c r="IM19" s="13">
        <f t="shared" si="1"/>
        <v>300</v>
      </c>
      <c r="IN19" s="13">
        <f t="shared" si="2"/>
        <v>150</v>
      </c>
      <c r="IO19" s="13"/>
      <c r="IP19" s="13">
        <f t="shared" si="4"/>
        <v>0</v>
      </c>
      <c r="IQ19" s="11">
        <f t="shared" si="5"/>
        <v>0</v>
      </c>
      <c r="IR19" s="11">
        <f t="shared" si="6"/>
        <v>0</v>
      </c>
      <c r="IS19" s="4"/>
      <c r="IT19" s="4"/>
      <c r="IU19" s="6" t="s">
        <v>28</v>
      </c>
      <c r="IV19" s="13">
        <f>SUM(II13:II18)</f>
        <v>0</v>
      </c>
    </row>
    <row r="20" spans="1:256" ht="12.75">
      <c r="A20" s="225"/>
      <c r="B20" s="204"/>
      <c r="C20" s="24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8"/>
      <c r="P20" s="207"/>
      <c r="Q20" s="208"/>
      <c r="R20" s="209"/>
      <c r="S20" s="59"/>
      <c r="T20" s="356" t="s">
        <v>263</v>
      </c>
      <c r="U20" s="357"/>
      <c r="V20" s="358"/>
      <c r="W20" s="43"/>
      <c r="X20" s="62">
        <f>SUM(X22:X26)</f>
        <v>0</v>
      </c>
      <c r="Y20" s="359">
        <f>SUM(Y21:Y26)</f>
        <v>15617.46</v>
      </c>
      <c r="Z20" s="63">
        <f>IF((X20)=0,0,(Y20-X20)/X20)</f>
        <v>0</v>
      </c>
      <c r="AA20" s="6"/>
      <c r="AB20" s="59"/>
      <c r="AC20" s="70"/>
      <c r="AD20" s="43"/>
      <c r="AE20" s="43"/>
      <c r="AF20" s="43"/>
      <c r="AG20" s="43"/>
      <c r="AH20" s="108"/>
      <c r="AI20" s="386"/>
      <c r="AJ20" s="408"/>
      <c r="AK20" s="266"/>
      <c r="AL20" s="45"/>
      <c r="AM20" s="43"/>
      <c r="AN20" s="70"/>
      <c r="AO20" s="43"/>
      <c r="AP20" s="43"/>
      <c r="AQ20" s="43"/>
      <c r="AR20" s="43"/>
      <c r="AS20" s="43"/>
      <c r="AT20" s="43"/>
      <c r="AU20" s="43"/>
      <c r="AV20" s="43"/>
      <c r="AW20" s="94"/>
      <c r="AX20" s="46"/>
      <c r="AY20" s="43"/>
      <c r="AZ20" s="43"/>
      <c r="BA20" s="70"/>
      <c r="BB20" s="99" t="s">
        <v>264</v>
      </c>
      <c r="BC20" s="100"/>
      <c r="BD20" s="100"/>
      <c r="BE20" s="315">
        <f>(BD4)</f>
        <v>15</v>
      </c>
      <c r="BF20" s="316">
        <f>(BC53*24/1000)</f>
        <v>360</v>
      </c>
      <c r="BG20" s="79">
        <v>0.045</v>
      </c>
      <c r="BH20" s="45" t="s">
        <v>28</v>
      </c>
      <c r="BI20" s="65">
        <f>(BE20*BF20*BG20)*2</f>
        <v>486</v>
      </c>
      <c r="BJ20" s="80">
        <f t="shared" si="36"/>
        <v>2430</v>
      </c>
      <c r="BK20" s="45"/>
      <c r="BL20" s="43"/>
      <c r="BM20" s="58"/>
      <c r="BN20" s="70"/>
      <c r="BO20" s="99" t="s">
        <v>265</v>
      </c>
      <c r="BP20" s="100"/>
      <c r="BQ20" s="43"/>
      <c r="BR20" s="71">
        <v>0.1</v>
      </c>
      <c r="BS20" s="65">
        <f t="shared" si="37"/>
        <v>350</v>
      </c>
      <c r="BT20" s="79">
        <v>0.27</v>
      </c>
      <c r="BU20" s="45" t="s">
        <v>28</v>
      </c>
      <c r="BV20" s="65">
        <f t="shared" si="38"/>
        <v>9.450000000000001</v>
      </c>
      <c r="BW20" s="80">
        <f t="shared" si="39"/>
        <v>47.25000000000001</v>
      </c>
      <c r="BX20" s="6"/>
      <c r="BY20" s="4"/>
      <c r="BZ20" s="4"/>
      <c r="CA20" s="6"/>
      <c r="CB20" s="112" t="s">
        <v>266</v>
      </c>
      <c r="CC20" s="100"/>
      <c r="CD20" s="43"/>
      <c r="CE20" s="71"/>
      <c r="CF20" s="65"/>
      <c r="CG20" s="79">
        <v>47.3</v>
      </c>
      <c r="CH20" s="45" t="s">
        <v>28</v>
      </c>
      <c r="CI20" s="65">
        <f t="shared" si="15"/>
        <v>0</v>
      </c>
      <c r="CJ20" s="80">
        <f t="shared" si="16"/>
        <v>0</v>
      </c>
      <c r="CK20" s="6"/>
      <c r="CL20" s="4"/>
      <c r="CM20" s="11"/>
      <c r="CN20" s="6"/>
      <c r="CO20" s="112" t="s">
        <v>220</v>
      </c>
      <c r="CP20" s="100"/>
      <c r="CQ20" s="100"/>
      <c r="CR20" s="71">
        <v>2</v>
      </c>
      <c r="CS20" s="65"/>
      <c r="CT20" s="79">
        <v>50</v>
      </c>
      <c r="CU20" s="45" t="s">
        <v>28</v>
      </c>
      <c r="CV20" s="65">
        <f t="shared" si="17"/>
        <v>100</v>
      </c>
      <c r="CW20" s="80">
        <f t="shared" si="18"/>
        <v>500</v>
      </c>
      <c r="CX20" s="6"/>
      <c r="CY20" s="4"/>
      <c r="CZ20" s="11"/>
      <c r="DA20" s="122"/>
      <c r="DB20" s="112" t="s">
        <v>267</v>
      </c>
      <c r="DC20" s="100"/>
      <c r="DD20" s="43"/>
      <c r="DE20" s="71">
        <v>4</v>
      </c>
      <c r="DF20" s="65">
        <f t="shared" si="19"/>
        <v>260</v>
      </c>
      <c r="DG20" s="79">
        <f>$DJ$8</f>
        <v>2</v>
      </c>
      <c r="DH20" s="45" t="s">
        <v>28</v>
      </c>
      <c r="DI20" s="65">
        <f>(DE20*(DF20/5)*DG20)</f>
        <v>416</v>
      </c>
      <c r="DJ20" s="80">
        <f t="shared" si="20"/>
        <v>2080</v>
      </c>
      <c r="DK20" s="6"/>
      <c r="DL20" s="11">
        <f>(DE20*DF20/5)</f>
        <v>208</v>
      </c>
      <c r="DM20" s="4"/>
      <c r="DN20" s="6"/>
      <c r="DO20" s="112" t="s">
        <v>267</v>
      </c>
      <c r="DP20" s="100"/>
      <c r="DQ20" s="43"/>
      <c r="DR20" s="71">
        <f>3*0.4</f>
        <v>1.2000000000000002</v>
      </c>
      <c r="DS20" s="342">
        <f t="shared" si="21"/>
        <v>0</v>
      </c>
      <c r="DT20" s="79">
        <f>$DW$8</f>
        <v>2</v>
      </c>
      <c r="DU20" s="45" t="s">
        <v>28</v>
      </c>
      <c r="DV20" s="65">
        <f>(DR20*(DS20/5)*DT20)</f>
        <v>0</v>
      </c>
      <c r="DW20" s="80">
        <f t="shared" si="22"/>
        <v>0</v>
      </c>
      <c r="DX20" s="45"/>
      <c r="DY20" s="58">
        <f>(DR20*DS20/5)</f>
        <v>0</v>
      </c>
      <c r="DZ20" s="4"/>
      <c r="EA20" s="6"/>
      <c r="EB20" s="112" t="s">
        <v>268</v>
      </c>
      <c r="EC20" s="100"/>
      <c r="ED20" s="100"/>
      <c r="EE20" s="71">
        <v>0</v>
      </c>
      <c r="EF20" s="65">
        <v>2</v>
      </c>
      <c r="EG20" s="79">
        <v>80</v>
      </c>
      <c r="EH20" s="45"/>
      <c r="EI20" s="65">
        <f t="shared" si="23"/>
        <v>0</v>
      </c>
      <c r="EJ20" s="106">
        <f t="shared" si="24"/>
        <v>0</v>
      </c>
      <c r="EK20" s="45"/>
      <c r="EL20" s="46"/>
      <c r="EM20" s="43"/>
      <c r="EN20" s="70"/>
      <c r="EO20" s="99" t="s">
        <v>269</v>
      </c>
      <c r="EP20" s="100"/>
      <c r="EQ20" s="100"/>
      <c r="ER20" s="71">
        <v>1</v>
      </c>
      <c r="ES20" s="65">
        <v>2</v>
      </c>
      <c r="ET20" s="79">
        <v>50</v>
      </c>
      <c r="EU20" s="45" t="s">
        <v>28</v>
      </c>
      <c r="EV20" s="65">
        <f t="shared" si="25"/>
        <v>100</v>
      </c>
      <c r="EW20" s="80">
        <f t="shared" si="26"/>
        <v>500</v>
      </c>
      <c r="EX20" s="45"/>
      <c r="EY20" s="43"/>
      <c r="EZ20" s="43"/>
      <c r="FA20" s="43"/>
      <c r="FB20" s="70"/>
      <c r="FC20" s="99" t="s">
        <v>270</v>
      </c>
      <c r="FD20" s="100"/>
      <c r="FE20" s="100"/>
      <c r="FF20" s="71">
        <v>1</v>
      </c>
      <c r="FG20" s="65">
        <v>17</v>
      </c>
      <c r="FH20" s="79">
        <v>30</v>
      </c>
      <c r="FI20" s="45" t="s">
        <v>28</v>
      </c>
      <c r="FJ20" s="65">
        <f t="shared" si="27"/>
        <v>510</v>
      </c>
      <c r="FK20" s="80">
        <f t="shared" si="28"/>
        <v>2550</v>
      </c>
      <c r="FL20" s="6"/>
      <c r="FM20" s="4"/>
      <c r="FN20" s="4"/>
      <c r="FO20" s="70"/>
      <c r="FP20" s="47" t="s">
        <v>271</v>
      </c>
      <c r="FQ20" s="43"/>
      <c r="FR20" s="43"/>
      <c r="FS20" s="71"/>
      <c r="FT20" s="65"/>
      <c r="FU20" s="79"/>
      <c r="FV20" s="45" t="s">
        <v>28</v>
      </c>
      <c r="FW20" s="65"/>
      <c r="FX20" s="80"/>
      <c r="FY20" s="45"/>
      <c r="FZ20" s="4"/>
      <c r="GA20" s="421"/>
      <c r="GB20" s="70"/>
      <c r="GC20" s="99" t="s">
        <v>272</v>
      </c>
      <c r="GD20" s="100"/>
      <c r="GE20" s="100"/>
      <c r="GF20" s="71"/>
      <c r="GG20" s="65"/>
      <c r="GH20" s="79">
        <v>30</v>
      </c>
      <c r="GI20" s="45" t="s">
        <v>28</v>
      </c>
      <c r="GJ20" s="65">
        <f t="shared" si="29"/>
        <v>0</v>
      </c>
      <c r="GK20" s="80">
        <f t="shared" si="30"/>
        <v>0</v>
      </c>
      <c r="GL20" s="6"/>
      <c r="GM20" s="4"/>
      <c r="GN20" s="417"/>
      <c r="GO20" s="70"/>
      <c r="GP20" s="99" t="s">
        <v>273</v>
      </c>
      <c r="GQ20" s="100"/>
      <c r="GR20" s="100"/>
      <c r="GS20" s="71"/>
      <c r="GT20" s="71"/>
      <c r="GU20" s="141">
        <v>0.01</v>
      </c>
      <c r="GV20" s="45" t="s">
        <v>28</v>
      </c>
      <c r="GW20" s="65">
        <f t="shared" si="31"/>
        <v>0</v>
      </c>
      <c r="GX20" s="106">
        <f t="shared" si="32"/>
        <v>0</v>
      </c>
      <c r="GY20" s="94"/>
      <c r="GZ20" s="13">
        <f>(GS20*GT20*GU20*$GW$7*$GW$8)*(6.54)</f>
        <v>0</v>
      </c>
      <c r="HA20" s="416"/>
      <c r="HB20" s="70"/>
      <c r="HC20" s="99" t="s">
        <v>274</v>
      </c>
      <c r="HD20" s="100"/>
      <c r="HE20" s="100"/>
      <c r="HF20" s="65"/>
      <c r="HG20" s="65"/>
      <c r="HH20" s="141">
        <v>42.57</v>
      </c>
      <c r="HI20" s="45" t="s">
        <v>28</v>
      </c>
      <c r="HJ20" s="65">
        <f t="shared" si="33"/>
        <v>0</v>
      </c>
      <c r="HK20" s="80">
        <f t="shared" si="35"/>
        <v>0</v>
      </c>
      <c r="HL20" s="6"/>
      <c r="HM20" s="13">
        <f t="shared" si="34"/>
        <v>0</v>
      </c>
      <c r="HN20" s="417"/>
      <c r="HO20" s="70"/>
      <c r="HP20" s="99" t="s">
        <v>275</v>
      </c>
      <c r="HQ20" s="100"/>
      <c r="HR20" s="100"/>
      <c r="HS20" s="65">
        <v>1</v>
      </c>
      <c r="HT20" s="65">
        <v>5</v>
      </c>
      <c r="HU20" s="106">
        <v>75</v>
      </c>
      <c r="HV20" s="45" t="s">
        <v>28</v>
      </c>
      <c r="HW20" s="108">
        <f t="shared" si="10"/>
        <v>375</v>
      </c>
      <c r="HX20" s="107">
        <f t="shared" si="14"/>
        <v>1875</v>
      </c>
      <c r="HY20" s="94"/>
      <c r="HZ20" s="4"/>
      <c r="IA20" s="70"/>
      <c r="IB20" s="59"/>
      <c r="IC20" s="43"/>
      <c r="ID20" s="43"/>
      <c r="IE20" s="65"/>
      <c r="IF20" s="71"/>
      <c r="IG20" s="79"/>
      <c r="IH20" s="45" t="s">
        <v>28</v>
      </c>
      <c r="II20" s="65"/>
      <c r="IJ20" s="106"/>
      <c r="IK20" s="94"/>
      <c r="IL20" s="11">
        <f t="shared" si="0"/>
        <v>70</v>
      </c>
      <c r="IM20" s="13">
        <f t="shared" si="1"/>
        <v>140</v>
      </c>
      <c r="IN20" s="13">
        <f t="shared" si="2"/>
        <v>0</v>
      </c>
      <c r="IO20" s="13"/>
      <c r="IP20" s="13">
        <f t="shared" si="4"/>
        <v>0</v>
      </c>
      <c r="IQ20" s="11">
        <f t="shared" si="5"/>
        <v>0</v>
      </c>
      <c r="IR20" s="11">
        <f t="shared" si="6"/>
        <v>0</v>
      </c>
      <c r="IS20" s="4"/>
      <c r="IT20" s="4"/>
      <c r="IU20" s="6" t="s">
        <v>28</v>
      </c>
      <c r="IV20" s="13">
        <f>SUM(II14:II19)</f>
        <v>0</v>
      </c>
    </row>
    <row r="21" spans="1:256" ht="12.75">
      <c r="A21" s="225"/>
      <c r="B21" s="204"/>
      <c r="C21" s="24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8"/>
      <c r="P21" s="207"/>
      <c r="Q21" s="208"/>
      <c r="R21" s="209"/>
      <c r="S21" s="59"/>
      <c r="T21" s="44" t="s">
        <v>276</v>
      </c>
      <c r="U21" s="43"/>
      <c r="V21" s="43"/>
      <c r="W21" s="43"/>
      <c r="X21" s="43"/>
      <c r="Y21" s="62">
        <f>AI9+AI11+AI13+AI15</f>
        <v>0</v>
      </c>
      <c r="Z21" s="46"/>
      <c r="AA21" s="6"/>
      <c r="AB21" s="59"/>
      <c r="AC21" s="70"/>
      <c r="AD21" s="43"/>
      <c r="AE21" s="45" t="s">
        <v>277</v>
      </c>
      <c r="AF21" s="43"/>
      <c r="AG21" s="43"/>
      <c r="AH21" s="108">
        <f>(IM55)</f>
        <v>7940</v>
      </c>
      <c r="AI21" s="386">
        <f>(EF55)</f>
        <v>0</v>
      </c>
      <c r="AJ21" s="408">
        <f>AH21+AI21</f>
        <v>7940</v>
      </c>
      <c r="AK21" s="389" t="s">
        <v>278</v>
      </c>
      <c r="AL21" s="45"/>
      <c r="AM21" s="43"/>
      <c r="AN21" s="70"/>
      <c r="AO21" s="43"/>
      <c r="AP21" s="43"/>
      <c r="AQ21" s="44" t="s">
        <v>279</v>
      </c>
      <c r="AR21" s="43"/>
      <c r="AS21" s="43"/>
      <c r="AT21" s="43"/>
      <c r="AU21" s="43">
        <f>424.41</f>
        <v>424.41</v>
      </c>
      <c r="AV21" s="43"/>
      <c r="AW21" s="94"/>
      <c r="AX21" s="46"/>
      <c r="AY21" s="43"/>
      <c r="AZ21" s="43"/>
      <c r="BA21" s="70"/>
      <c r="BB21" s="99" t="s">
        <v>280</v>
      </c>
      <c r="BC21" s="100"/>
      <c r="BD21" s="100"/>
      <c r="BE21" s="71">
        <v>0</v>
      </c>
      <c r="BF21" s="65">
        <v>0</v>
      </c>
      <c r="BG21" s="79">
        <v>0.375</v>
      </c>
      <c r="BH21" s="45" t="s">
        <v>28</v>
      </c>
      <c r="BI21" s="65">
        <f aca="true" t="shared" si="40" ref="BI21:BI53">(BE21*BF21*BG21)</f>
        <v>0</v>
      </c>
      <c r="BJ21" s="80">
        <f t="shared" si="36"/>
        <v>0</v>
      </c>
      <c r="BK21" s="45"/>
      <c r="BL21" s="43"/>
      <c r="BM21" s="58"/>
      <c r="BN21" s="70"/>
      <c r="BO21" s="99" t="s">
        <v>281</v>
      </c>
      <c r="BP21" s="100"/>
      <c r="BQ21" s="43"/>
      <c r="BR21" s="71">
        <v>1</v>
      </c>
      <c r="BS21" s="65">
        <f t="shared" si="37"/>
        <v>350</v>
      </c>
      <c r="BT21" s="79">
        <v>1.2</v>
      </c>
      <c r="BU21" s="45" t="s">
        <v>28</v>
      </c>
      <c r="BV21" s="65">
        <f t="shared" si="38"/>
        <v>420</v>
      </c>
      <c r="BW21" s="80">
        <f t="shared" si="39"/>
        <v>2100</v>
      </c>
      <c r="BX21" s="6"/>
      <c r="BY21" s="4"/>
      <c r="BZ21" s="4"/>
      <c r="CA21" s="6"/>
      <c r="CB21" s="112" t="s">
        <v>282</v>
      </c>
      <c r="CC21" s="100"/>
      <c r="CD21" s="43"/>
      <c r="CE21" s="71"/>
      <c r="CF21" s="65"/>
      <c r="CG21" s="79">
        <v>55</v>
      </c>
      <c r="CH21" s="45" t="s">
        <v>28</v>
      </c>
      <c r="CI21" s="65">
        <f t="shared" si="15"/>
        <v>0</v>
      </c>
      <c r="CJ21" s="80">
        <f t="shared" si="16"/>
        <v>0</v>
      </c>
      <c r="CK21" s="6"/>
      <c r="CL21" s="4"/>
      <c r="CM21" s="11"/>
      <c r="CN21" s="6"/>
      <c r="CO21" s="59"/>
      <c r="CP21" s="43"/>
      <c r="CQ21" s="43"/>
      <c r="CR21" s="71"/>
      <c r="CS21" s="65"/>
      <c r="CT21" s="79"/>
      <c r="CU21" s="45" t="s">
        <v>28</v>
      </c>
      <c r="CV21" s="65">
        <f t="shared" si="17"/>
        <v>0</v>
      </c>
      <c r="CW21" s="80"/>
      <c r="CX21" s="6"/>
      <c r="CY21" s="4"/>
      <c r="CZ21" s="11"/>
      <c r="DA21" s="122"/>
      <c r="DB21" s="126"/>
      <c r="DC21" s="100"/>
      <c r="DD21" s="43"/>
      <c r="DE21" s="71"/>
      <c r="DF21" s="65"/>
      <c r="DG21" s="79"/>
      <c r="DH21" s="45" t="s">
        <v>28</v>
      </c>
      <c r="DI21" s="65"/>
      <c r="DJ21" s="80"/>
      <c r="DK21" s="6"/>
      <c r="DL21" s="4"/>
      <c r="DM21" s="4"/>
      <c r="DN21" s="6"/>
      <c r="DO21" s="112" t="s">
        <v>220</v>
      </c>
      <c r="DP21" s="100"/>
      <c r="DQ21" s="43"/>
      <c r="DR21" s="71">
        <v>0</v>
      </c>
      <c r="DS21" s="343">
        <v>1</v>
      </c>
      <c r="DT21" s="79">
        <v>550</v>
      </c>
      <c r="DU21" s="45" t="s">
        <v>28</v>
      </c>
      <c r="DV21" s="65">
        <f>(DR21*DS21*DT21)</f>
        <v>0</v>
      </c>
      <c r="DW21" s="80">
        <f t="shared" si="22"/>
        <v>0</v>
      </c>
      <c r="DX21" s="45"/>
      <c r="DY21" s="43"/>
      <c r="DZ21" s="4"/>
      <c r="EA21" s="6"/>
      <c r="EB21" s="112" t="s">
        <v>283</v>
      </c>
      <c r="EC21" s="100"/>
      <c r="ED21" s="100"/>
      <c r="EE21" s="71">
        <v>0</v>
      </c>
      <c r="EF21" s="65"/>
      <c r="EG21" s="79">
        <v>550</v>
      </c>
      <c r="EH21" s="45"/>
      <c r="EI21" s="65">
        <f t="shared" si="23"/>
        <v>0</v>
      </c>
      <c r="EJ21" s="106">
        <f t="shared" si="24"/>
        <v>0</v>
      </c>
      <c r="EK21" s="45"/>
      <c r="EL21" s="46"/>
      <c r="EM21" s="43"/>
      <c r="EN21" s="70"/>
      <c r="EO21" s="99" t="s">
        <v>284</v>
      </c>
      <c r="EP21" s="100"/>
      <c r="EQ21" s="100"/>
      <c r="ER21" s="71">
        <v>2</v>
      </c>
      <c r="ES21" s="65">
        <v>1</v>
      </c>
      <c r="ET21" s="79">
        <v>12</v>
      </c>
      <c r="EU21" s="45" t="s">
        <v>28</v>
      </c>
      <c r="EV21" s="65">
        <f t="shared" si="25"/>
        <v>24</v>
      </c>
      <c r="EW21" s="80">
        <f t="shared" si="26"/>
        <v>120</v>
      </c>
      <c r="EX21" s="45"/>
      <c r="EY21" s="43"/>
      <c r="EZ21" s="43"/>
      <c r="FA21" s="43"/>
      <c r="FB21" s="70"/>
      <c r="FC21" s="99" t="s">
        <v>285</v>
      </c>
      <c r="FD21" s="100"/>
      <c r="FE21" s="100"/>
      <c r="FF21" s="71">
        <v>1</v>
      </c>
      <c r="FG21" s="65">
        <v>2</v>
      </c>
      <c r="FH21" s="79">
        <v>90</v>
      </c>
      <c r="FI21" s="45" t="s">
        <v>28</v>
      </c>
      <c r="FJ21" s="65">
        <f t="shared" si="27"/>
        <v>180</v>
      </c>
      <c r="FK21" s="80">
        <f t="shared" si="28"/>
        <v>900</v>
      </c>
      <c r="FL21" s="6"/>
      <c r="FM21" s="4"/>
      <c r="FN21" s="4"/>
      <c r="FO21" s="70"/>
      <c r="FP21" s="99" t="s">
        <v>286</v>
      </c>
      <c r="FQ21" s="100"/>
      <c r="FR21" s="100"/>
      <c r="FS21" s="71"/>
      <c r="FT21" s="65"/>
      <c r="FU21" s="79">
        <v>220</v>
      </c>
      <c r="FV21" s="45" t="s">
        <v>28</v>
      </c>
      <c r="FW21" s="65">
        <f>(FS21*FT21*FU21)</f>
        <v>0</v>
      </c>
      <c r="FX21" s="80">
        <f>(FW21/$BF$2)*1000</f>
        <v>0</v>
      </c>
      <c r="FY21" s="45"/>
      <c r="FZ21" s="4"/>
      <c r="GA21" s="421"/>
      <c r="GB21" s="70"/>
      <c r="GC21" s="99" t="s">
        <v>287</v>
      </c>
      <c r="GD21" s="100"/>
      <c r="GE21" s="100"/>
      <c r="GF21" s="71"/>
      <c r="GG21" s="65"/>
      <c r="GH21" s="79">
        <v>60</v>
      </c>
      <c r="GI21" s="45" t="s">
        <v>28</v>
      </c>
      <c r="GJ21" s="65">
        <f t="shared" si="29"/>
        <v>0</v>
      </c>
      <c r="GK21" s="80">
        <f t="shared" si="30"/>
        <v>0</v>
      </c>
      <c r="GL21" s="6"/>
      <c r="GM21" s="4"/>
      <c r="GN21" s="417"/>
      <c r="GO21" s="70"/>
      <c r="GP21" s="99" t="s">
        <v>288</v>
      </c>
      <c r="GQ21" s="100"/>
      <c r="GR21" s="100"/>
      <c r="GS21" s="71"/>
      <c r="GT21" s="71"/>
      <c r="GU21" s="141">
        <v>0.01</v>
      </c>
      <c r="GV21" s="45" t="s">
        <v>28</v>
      </c>
      <c r="GW21" s="65">
        <f t="shared" si="31"/>
        <v>0</v>
      </c>
      <c r="GX21" s="106">
        <f t="shared" si="32"/>
        <v>0</v>
      </c>
      <c r="GY21" s="94"/>
      <c r="GZ21" s="13">
        <f>(GS21*GT21*GU21*$GW$7*$GW$8)*(6.92)</f>
        <v>0</v>
      </c>
      <c r="HA21" s="416"/>
      <c r="HB21" s="70"/>
      <c r="HC21" s="99" t="s">
        <v>289</v>
      </c>
      <c r="HD21" s="100"/>
      <c r="HE21" s="100"/>
      <c r="HF21" s="65"/>
      <c r="HG21" s="65"/>
      <c r="HH21" s="141">
        <v>52.5</v>
      </c>
      <c r="HI21" s="45" t="s">
        <v>28</v>
      </c>
      <c r="HJ21" s="65">
        <f t="shared" si="33"/>
        <v>0</v>
      </c>
      <c r="HK21" s="80">
        <f t="shared" si="35"/>
        <v>0</v>
      </c>
      <c r="HL21" s="6"/>
      <c r="HM21" s="13">
        <f t="shared" si="34"/>
        <v>0</v>
      </c>
      <c r="HN21" s="417"/>
      <c r="HO21" s="70"/>
      <c r="HP21" s="99" t="s">
        <v>290</v>
      </c>
      <c r="HQ21" s="100"/>
      <c r="HR21" s="100"/>
      <c r="HS21" s="65">
        <v>1</v>
      </c>
      <c r="HT21" s="65">
        <v>1</v>
      </c>
      <c r="HU21" s="106">
        <v>10</v>
      </c>
      <c r="HV21" s="45" t="s">
        <v>28</v>
      </c>
      <c r="HW21" s="108">
        <f t="shared" si="10"/>
        <v>10</v>
      </c>
      <c r="HX21" s="107">
        <f t="shared" si="14"/>
        <v>50</v>
      </c>
      <c r="HY21" s="94"/>
      <c r="HZ21" s="4"/>
      <c r="IA21" s="70"/>
      <c r="IB21" s="38" t="s">
        <v>291</v>
      </c>
      <c r="IC21" s="43"/>
      <c r="ID21" s="43"/>
      <c r="IE21" s="65"/>
      <c r="IF21" s="71"/>
      <c r="IG21" s="174" t="s">
        <v>292</v>
      </c>
      <c r="IH21" s="176" t="s">
        <v>28</v>
      </c>
      <c r="II21" s="171">
        <f>SUM(II13:II19)</f>
        <v>0</v>
      </c>
      <c r="IJ21" s="175">
        <f>SUM(IJ13:IJ19)</f>
        <v>0</v>
      </c>
      <c r="IK21" s="94"/>
      <c r="IL21" s="11">
        <f>IF((EM33)=1,0,(EV33))</f>
        <v>0</v>
      </c>
      <c r="IM21" s="13">
        <f t="shared" si="1"/>
        <v>0</v>
      </c>
      <c r="IN21" s="13">
        <f t="shared" si="2"/>
        <v>1500</v>
      </c>
      <c r="IO21" s="13">
        <f aca="true" t="shared" si="41" ref="IO21:IO27">IF((BM37)=1,0,(BV37))</f>
        <v>0</v>
      </c>
      <c r="IP21" s="13">
        <f t="shared" si="4"/>
        <v>0</v>
      </c>
      <c r="IQ21" s="11">
        <f t="shared" si="5"/>
        <v>167</v>
      </c>
      <c r="IR21" s="11">
        <f t="shared" si="6"/>
        <v>0</v>
      </c>
      <c r="IS21" s="4"/>
      <c r="IT21" s="4"/>
      <c r="IU21" s="6" t="s">
        <v>28</v>
      </c>
      <c r="IV21" s="13">
        <f>SUM(II15:II20)</f>
        <v>0</v>
      </c>
    </row>
    <row r="22" spans="1:256" ht="12.75">
      <c r="A22" s="225"/>
      <c r="B22" s="204"/>
      <c r="C22" s="245"/>
      <c r="D22" s="74"/>
      <c r="E22" s="74"/>
      <c r="F22" s="74"/>
      <c r="G22" s="274"/>
      <c r="H22" s="116"/>
      <c r="I22" s="116"/>
      <c r="J22" s="116"/>
      <c r="K22" s="205"/>
      <c r="L22" s="205"/>
      <c r="M22" s="205"/>
      <c r="N22" s="205"/>
      <c r="O22" s="208"/>
      <c r="P22" s="207"/>
      <c r="Q22" s="208"/>
      <c r="R22" s="209"/>
      <c r="S22" s="59"/>
      <c r="T22" s="44" t="s">
        <v>293</v>
      </c>
      <c r="U22" s="43"/>
      <c r="V22" s="43"/>
      <c r="W22" s="43"/>
      <c r="X22" s="65"/>
      <c r="Y22" s="62">
        <f>AI17+AI19+AI31+AI33+AI37</f>
        <v>8162.46</v>
      </c>
      <c r="Z22" s="63">
        <f>IF((X22)=0,0,(Y22-X22)/X22)</f>
        <v>0</v>
      </c>
      <c r="AA22" s="6"/>
      <c r="AB22" s="59"/>
      <c r="AC22" s="70"/>
      <c r="AD22" s="43"/>
      <c r="AE22" s="43"/>
      <c r="AF22" s="43"/>
      <c r="AG22" s="43"/>
      <c r="AH22" s="108"/>
      <c r="AI22" s="386"/>
      <c r="AJ22" s="408"/>
      <c r="AK22" s="266"/>
      <c r="AL22" s="45"/>
      <c r="AM22" s="43"/>
      <c r="AN22" s="70"/>
      <c r="AO22" s="43"/>
      <c r="AP22" s="43"/>
      <c r="AQ22" s="43"/>
      <c r="AR22" s="43"/>
      <c r="AS22" s="43"/>
      <c r="AT22" s="43"/>
      <c r="AU22" s="43"/>
      <c r="AV22" s="43"/>
      <c r="AW22" s="94"/>
      <c r="AX22" s="46"/>
      <c r="AY22" s="43"/>
      <c r="AZ22" s="43"/>
      <c r="BA22" s="70"/>
      <c r="BB22" s="99" t="s">
        <v>294</v>
      </c>
      <c r="BC22" s="100"/>
      <c r="BD22" s="100"/>
      <c r="BE22" s="71">
        <v>0</v>
      </c>
      <c r="BF22" s="65">
        <v>0</v>
      </c>
      <c r="BG22" s="79">
        <v>0.035</v>
      </c>
      <c r="BH22" s="45" t="s">
        <v>28</v>
      </c>
      <c r="BI22" s="65">
        <f t="shared" si="40"/>
        <v>0</v>
      </c>
      <c r="BJ22" s="80">
        <f t="shared" si="36"/>
        <v>0</v>
      </c>
      <c r="BK22" s="45"/>
      <c r="BL22" s="43"/>
      <c r="BM22" s="58"/>
      <c r="BN22" s="70"/>
      <c r="BO22" s="99" t="s">
        <v>235</v>
      </c>
      <c r="BP22" s="100"/>
      <c r="BQ22" s="43"/>
      <c r="BR22" s="71">
        <v>0.1</v>
      </c>
      <c r="BS22" s="65">
        <f t="shared" si="37"/>
        <v>350</v>
      </c>
      <c r="BT22" s="79">
        <f>BT21*1.3</f>
        <v>1.56</v>
      </c>
      <c r="BU22" s="45" t="s">
        <v>28</v>
      </c>
      <c r="BV22" s="65">
        <f t="shared" si="38"/>
        <v>54.6</v>
      </c>
      <c r="BW22" s="80">
        <f t="shared" si="39"/>
        <v>273</v>
      </c>
      <c r="BX22" s="6"/>
      <c r="BY22" s="4"/>
      <c r="BZ22" s="4"/>
      <c r="CA22" s="6"/>
      <c r="CB22" s="112" t="s">
        <v>295</v>
      </c>
      <c r="CC22" s="100"/>
      <c r="CD22" s="43"/>
      <c r="CE22" s="71"/>
      <c r="CF22" s="65"/>
      <c r="CG22" s="79">
        <v>73.7</v>
      </c>
      <c r="CH22" s="45" t="s">
        <v>28</v>
      </c>
      <c r="CI22" s="65">
        <f t="shared" si="15"/>
        <v>0</v>
      </c>
      <c r="CJ22" s="80">
        <f t="shared" si="16"/>
        <v>0</v>
      </c>
      <c r="CK22" s="6"/>
      <c r="CL22" s="4"/>
      <c r="CM22" s="4"/>
      <c r="CN22" s="6"/>
      <c r="CO22" s="38" t="s">
        <v>296</v>
      </c>
      <c r="CP22" s="43"/>
      <c r="CQ22" s="44" t="s">
        <v>297</v>
      </c>
      <c r="CR22" s="71"/>
      <c r="CS22" s="65"/>
      <c r="CT22" s="79"/>
      <c r="CU22" s="45" t="s">
        <v>28</v>
      </c>
      <c r="CV22" s="65">
        <f t="shared" si="17"/>
        <v>0</v>
      </c>
      <c r="CW22" s="80"/>
      <c r="CX22" s="6"/>
      <c r="CY22" s="4"/>
      <c r="CZ22" s="11"/>
      <c r="DA22" s="6"/>
      <c r="DB22" s="38" t="s">
        <v>298</v>
      </c>
      <c r="DC22" s="43"/>
      <c r="DD22" s="339">
        <f>(DF6)</f>
        <v>150</v>
      </c>
      <c r="DE22" s="127" t="s">
        <v>72</v>
      </c>
      <c r="DF22" s="65"/>
      <c r="DG22" s="79"/>
      <c r="DH22" s="45" t="s">
        <v>28</v>
      </c>
      <c r="DI22" s="65"/>
      <c r="DJ22" s="80"/>
      <c r="DK22" s="6"/>
      <c r="DL22" s="4"/>
      <c r="DM22" s="4"/>
      <c r="DN22" s="6"/>
      <c r="DO22" s="59"/>
      <c r="DP22" s="43"/>
      <c r="DQ22" s="43"/>
      <c r="DR22" s="71"/>
      <c r="DS22" s="65"/>
      <c r="DT22" s="79"/>
      <c r="DU22" s="45" t="s">
        <v>28</v>
      </c>
      <c r="DV22" s="65"/>
      <c r="DW22" s="80"/>
      <c r="DX22" s="45"/>
      <c r="DY22" s="43"/>
      <c r="DZ22" s="4"/>
      <c r="EA22" s="6"/>
      <c r="EB22" s="112" t="s">
        <v>299</v>
      </c>
      <c r="EC22" s="100"/>
      <c r="ED22" s="100"/>
      <c r="EE22" s="71">
        <v>2</v>
      </c>
      <c r="EF22" s="65">
        <v>3</v>
      </c>
      <c r="EG22" s="79">
        <v>60</v>
      </c>
      <c r="EH22" s="45"/>
      <c r="EI22" s="65">
        <f t="shared" si="23"/>
        <v>360</v>
      </c>
      <c r="EJ22" s="106">
        <f t="shared" si="24"/>
        <v>1800</v>
      </c>
      <c r="EK22" s="45"/>
      <c r="EL22" s="46"/>
      <c r="EM22" s="43"/>
      <c r="EN22" s="70"/>
      <c r="EO22" s="99" t="s">
        <v>300</v>
      </c>
      <c r="EP22" s="100"/>
      <c r="EQ22" s="100"/>
      <c r="ER22" s="71">
        <v>2</v>
      </c>
      <c r="ES22" s="65">
        <v>3</v>
      </c>
      <c r="ET22" s="79">
        <v>35</v>
      </c>
      <c r="EU22" s="45" t="s">
        <v>28</v>
      </c>
      <c r="EV22" s="65">
        <f t="shared" si="25"/>
        <v>210</v>
      </c>
      <c r="EW22" s="80">
        <f t="shared" si="26"/>
        <v>1050</v>
      </c>
      <c r="EX22" s="45"/>
      <c r="EY22" s="43"/>
      <c r="EZ22" s="43"/>
      <c r="FA22" s="43"/>
      <c r="FB22" s="70"/>
      <c r="FC22" s="99" t="s">
        <v>301</v>
      </c>
      <c r="FD22" s="100"/>
      <c r="FE22" s="100"/>
      <c r="FF22" s="71"/>
      <c r="FG22" s="65"/>
      <c r="FH22" s="79">
        <v>36</v>
      </c>
      <c r="FI22" s="45" t="s">
        <v>28</v>
      </c>
      <c r="FJ22" s="65">
        <f t="shared" si="27"/>
        <v>0</v>
      </c>
      <c r="FK22" s="80">
        <f t="shared" si="28"/>
        <v>0</v>
      </c>
      <c r="FL22" s="6"/>
      <c r="FM22" s="4"/>
      <c r="FN22" s="4"/>
      <c r="FO22" s="70"/>
      <c r="FP22" s="99" t="s">
        <v>302</v>
      </c>
      <c r="FQ22" s="100"/>
      <c r="FR22" s="100"/>
      <c r="FS22" s="71"/>
      <c r="FT22" s="65"/>
      <c r="FU22" s="79">
        <v>260</v>
      </c>
      <c r="FV22" s="45" t="s">
        <v>28</v>
      </c>
      <c r="FW22" s="65">
        <f>(FS22*FT22*FU22)</f>
        <v>0</v>
      </c>
      <c r="FX22" s="80">
        <f>(FW22/$BF$2)*1000</f>
        <v>0</v>
      </c>
      <c r="FY22" s="45"/>
      <c r="FZ22" s="4"/>
      <c r="GA22" s="421"/>
      <c r="GB22" s="70"/>
      <c r="GC22" s="99" t="s">
        <v>303</v>
      </c>
      <c r="GD22" s="100"/>
      <c r="GE22" s="100"/>
      <c r="GF22" s="71"/>
      <c r="GG22" s="65"/>
      <c r="GH22" s="79">
        <v>35</v>
      </c>
      <c r="GI22" s="45" t="s">
        <v>28</v>
      </c>
      <c r="GJ22" s="65">
        <f t="shared" si="29"/>
        <v>0</v>
      </c>
      <c r="GK22" s="80">
        <f t="shared" si="30"/>
        <v>0</v>
      </c>
      <c r="GL22" s="6"/>
      <c r="GM22" s="4"/>
      <c r="GN22" s="416"/>
      <c r="GO22" s="70"/>
      <c r="GP22" s="99" t="s">
        <v>304</v>
      </c>
      <c r="GQ22" s="100"/>
      <c r="GR22" s="100"/>
      <c r="GS22" s="71">
        <v>1</v>
      </c>
      <c r="GT22" s="71">
        <v>2.5</v>
      </c>
      <c r="GU22" s="141">
        <v>0.012</v>
      </c>
      <c r="GV22" s="45" t="s">
        <v>28</v>
      </c>
      <c r="GW22" s="65">
        <f t="shared" si="31"/>
        <v>796.3199999999999</v>
      </c>
      <c r="GX22" s="106">
        <f t="shared" si="32"/>
        <v>3981.6</v>
      </c>
      <c r="GY22" s="94"/>
      <c r="GZ22" s="13">
        <f>(GS22*GT22*GU22*$GW$7*$GW$8)*(4.74)</f>
        <v>227.52</v>
      </c>
      <c r="HA22" s="416"/>
      <c r="HB22" s="70"/>
      <c r="HC22" s="99" t="s">
        <v>305</v>
      </c>
      <c r="HD22" s="100"/>
      <c r="HE22" s="100"/>
      <c r="HF22" s="65"/>
      <c r="HG22" s="65"/>
      <c r="HH22" s="141">
        <v>62.125</v>
      </c>
      <c r="HI22" s="45" t="s">
        <v>28</v>
      </c>
      <c r="HJ22" s="65">
        <f t="shared" si="33"/>
        <v>0</v>
      </c>
      <c r="HK22" s="80">
        <f t="shared" si="35"/>
        <v>0</v>
      </c>
      <c r="HL22" s="6"/>
      <c r="HM22" s="13">
        <f t="shared" si="34"/>
        <v>0</v>
      </c>
      <c r="HN22" s="417" t="s">
        <v>0</v>
      </c>
      <c r="HO22" s="70"/>
      <c r="HP22" s="99" t="s">
        <v>306</v>
      </c>
      <c r="HQ22" s="100"/>
      <c r="HR22" s="100"/>
      <c r="HS22" s="65">
        <v>1</v>
      </c>
      <c r="HT22" s="65">
        <v>15</v>
      </c>
      <c r="HU22" s="106">
        <v>40</v>
      </c>
      <c r="HV22" s="45" t="s">
        <v>28</v>
      </c>
      <c r="HW22" s="108">
        <f t="shared" si="10"/>
        <v>600</v>
      </c>
      <c r="HX22" s="107">
        <f t="shared" si="14"/>
        <v>3000</v>
      </c>
      <c r="HY22" s="94"/>
      <c r="HZ22" s="4"/>
      <c r="IA22" s="70"/>
      <c r="IB22" s="112" t="s">
        <v>307</v>
      </c>
      <c r="IC22" s="100"/>
      <c r="ID22" s="100"/>
      <c r="IE22" s="65">
        <v>1</v>
      </c>
      <c r="IF22" s="65">
        <v>1</v>
      </c>
      <c r="IG22" s="79">
        <v>150</v>
      </c>
      <c r="IH22" s="45" t="s">
        <v>28</v>
      </c>
      <c r="II22" s="65">
        <f aca="true" t="shared" si="42" ref="II22:II35">IF(IF22&lt;=0,0,IG22)</f>
        <v>150</v>
      </c>
      <c r="IJ22" s="106">
        <f aca="true" t="shared" si="43" ref="IJ22:IJ35">IF(IF22&lt;=0,0,(IG22/$BF$2)*1000)</f>
        <v>750</v>
      </c>
      <c r="IK22" s="94"/>
      <c r="IL22" s="11">
        <f aca="true" t="shared" si="44" ref="IL22:IL41">IF((EM34)=1,0,(EV34))</f>
        <v>170</v>
      </c>
      <c r="IM22" s="13">
        <f t="shared" si="1"/>
        <v>260</v>
      </c>
      <c r="IN22" s="13">
        <f t="shared" si="2"/>
        <v>0</v>
      </c>
      <c r="IO22" s="13">
        <f t="shared" si="41"/>
        <v>0</v>
      </c>
      <c r="IP22" s="13">
        <f t="shared" si="4"/>
        <v>0</v>
      </c>
      <c r="IQ22" s="11">
        <f t="shared" si="5"/>
        <v>50</v>
      </c>
      <c r="IR22" s="11">
        <f t="shared" si="6"/>
        <v>13</v>
      </c>
      <c r="IS22" s="4"/>
      <c r="IT22" s="4"/>
      <c r="IU22" s="6" t="s">
        <v>28</v>
      </c>
      <c r="IV22" s="13">
        <f aca="true" t="shared" si="45" ref="IV22:IV35">(IF22*IG22)</f>
        <v>150</v>
      </c>
    </row>
    <row r="23" spans="1:256" ht="12.75">
      <c r="A23" s="225"/>
      <c r="B23" s="204"/>
      <c r="C23" s="245"/>
      <c r="D23" s="104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8"/>
      <c r="P23" s="207"/>
      <c r="Q23" s="208"/>
      <c r="R23" s="209"/>
      <c r="S23" s="59"/>
      <c r="T23" s="44" t="s">
        <v>308</v>
      </c>
      <c r="U23" s="43"/>
      <c r="V23" s="43"/>
      <c r="W23" s="43"/>
      <c r="X23" s="65"/>
      <c r="Y23" s="62">
        <f>AI35</f>
        <v>755</v>
      </c>
      <c r="Z23" s="63">
        <f>IF((X23)=0,0,(Y23-X23)/X23)</f>
        <v>0</v>
      </c>
      <c r="AA23" s="6"/>
      <c r="AB23" s="59"/>
      <c r="AC23" s="70"/>
      <c r="AD23" s="43"/>
      <c r="AE23" s="45" t="s">
        <v>309</v>
      </c>
      <c r="AF23" s="43"/>
      <c r="AG23" s="43"/>
      <c r="AH23" s="108">
        <f>(IL55)</f>
        <v>3962</v>
      </c>
      <c r="AI23" s="386">
        <f>(ES55)</f>
        <v>0</v>
      </c>
      <c r="AJ23" s="408">
        <f>AH23+AI23</f>
        <v>3962</v>
      </c>
      <c r="AK23" s="389" t="s">
        <v>310</v>
      </c>
      <c r="AL23" s="45"/>
      <c r="AM23" s="43"/>
      <c r="AN23" s="70"/>
      <c r="AO23" s="43"/>
      <c r="AP23" s="43"/>
      <c r="AQ23" s="44" t="s">
        <v>311</v>
      </c>
      <c r="AR23" s="43"/>
      <c r="AS23" s="43"/>
      <c r="AT23" s="43"/>
      <c r="AU23" s="104">
        <f>8</f>
        <v>8</v>
      </c>
      <c r="AV23" s="43"/>
      <c r="AW23" s="94"/>
      <c r="AX23" s="46"/>
      <c r="AY23" s="43"/>
      <c r="AZ23" s="43"/>
      <c r="BA23" s="70"/>
      <c r="BB23" s="99" t="s">
        <v>312</v>
      </c>
      <c r="BC23" s="100"/>
      <c r="BD23" s="100"/>
      <c r="BE23" s="71">
        <v>1</v>
      </c>
      <c r="BF23" s="65">
        <v>4</v>
      </c>
      <c r="BG23" s="79">
        <v>8.15</v>
      </c>
      <c r="BH23" s="45" t="s">
        <v>28</v>
      </c>
      <c r="BI23" s="65">
        <f t="shared" si="40"/>
        <v>32.6</v>
      </c>
      <c r="BJ23" s="80">
        <f t="shared" si="36"/>
        <v>163</v>
      </c>
      <c r="BK23" s="45"/>
      <c r="BL23" s="43"/>
      <c r="BM23" s="58"/>
      <c r="BN23" s="70"/>
      <c r="BO23" s="99" t="s">
        <v>313</v>
      </c>
      <c r="BP23" s="100"/>
      <c r="BQ23" s="43"/>
      <c r="BR23" s="71">
        <f>2*0.1</f>
        <v>0.2</v>
      </c>
      <c r="BS23" s="65">
        <f t="shared" si="37"/>
        <v>350</v>
      </c>
      <c r="BT23" s="79">
        <v>0.15</v>
      </c>
      <c r="BU23" s="45" t="s">
        <v>28</v>
      </c>
      <c r="BV23" s="65">
        <f t="shared" si="38"/>
        <v>10.5</v>
      </c>
      <c r="BW23" s="80">
        <f t="shared" si="39"/>
        <v>52.5</v>
      </c>
      <c r="BX23" s="6"/>
      <c r="BY23" s="4"/>
      <c r="BZ23" s="4"/>
      <c r="CA23" s="6"/>
      <c r="CB23" s="112" t="s">
        <v>314</v>
      </c>
      <c r="CC23" s="100"/>
      <c r="CD23" s="65"/>
      <c r="CE23" s="71"/>
      <c r="CF23" s="65"/>
      <c r="CG23" s="79">
        <v>88</v>
      </c>
      <c r="CH23" s="45" t="s">
        <v>28</v>
      </c>
      <c r="CI23" s="65">
        <f t="shared" si="15"/>
        <v>0</v>
      </c>
      <c r="CJ23" s="80">
        <f t="shared" si="16"/>
        <v>0</v>
      </c>
      <c r="CK23" s="6"/>
      <c r="CL23" s="4"/>
      <c r="CM23" s="4"/>
      <c r="CN23" s="6"/>
      <c r="CO23" s="112" t="s">
        <v>315</v>
      </c>
      <c r="CP23" s="100"/>
      <c r="CQ23" s="43"/>
      <c r="CR23" s="71">
        <v>4</v>
      </c>
      <c r="CS23" s="65"/>
      <c r="CT23" s="79">
        <v>43.7</v>
      </c>
      <c r="CU23" s="45" t="s">
        <v>28</v>
      </c>
      <c r="CV23" s="65">
        <f t="shared" si="17"/>
        <v>174.8</v>
      </c>
      <c r="CW23" s="80">
        <f>(CV23/$BF$2)*1000</f>
        <v>874.0000000000001</v>
      </c>
      <c r="CX23" s="6"/>
      <c r="CY23" s="4"/>
      <c r="CZ23" s="11"/>
      <c r="DA23" s="122"/>
      <c r="DB23" s="112" t="s">
        <v>185</v>
      </c>
      <c r="DC23" s="100"/>
      <c r="DD23" s="43"/>
      <c r="DE23" s="71">
        <v>1</v>
      </c>
      <c r="DF23" s="65">
        <f aca="true" t="shared" si="46" ref="DF23:DF28">$DF$6</f>
        <v>150</v>
      </c>
      <c r="DG23" s="79">
        <v>0.45</v>
      </c>
      <c r="DH23" s="45" t="s">
        <v>28</v>
      </c>
      <c r="DI23" s="65">
        <f>(DE23*DF23*DG23)</f>
        <v>67.5</v>
      </c>
      <c r="DJ23" s="80">
        <f aca="true" t="shared" si="47" ref="DJ23:DJ28">(DI23/$BF$2)*1000</f>
        <v>337.5</v>
      </c>
      <c r="DK23" s="6"/>
      <c r="DL23" s="4"/>
      <c r="DM23" s="4"/>
      <c r="DN23" s="6"/>
      <c r="DO23" s="59"/>
      <c r="DP23" s="43"/>
      <c r="DQ23" s="43"/>
      <c r="DR23" s="71"/>
      <c r="DS23" s="65"/>
      <c r="DT23" s="79"/>
      <c r="DU23" s="45" t="s">
        <v>28</v>
      </c>
      <c r="DV23" s="65"/>
      <c r="DW23" s="80"/>
      <c r="DX23" s="45"/>
      <c r="DY23" s="43"/>
      <c r="DZ23" s="4"/>
      <c r="EA23" s="6"/>
      <c r="EB23" s="112" t="s">
        <v>316</v>
      </c>
      <c r="EC23" s="100"/>
      <c r="ED23" s="100"/>
      <c r="EE23" s="71">
        <v>2</v>
      </c>
      <c r="EF23" s="65">
        <v>3</v>
      </c>
      <c r="EG23" s="79">
        <v>60</v>
      </c>
      <c r="EH23" s="45"/>
      <c r="EI23" s="65">
        <f t="shared" si="23"/>
        <v>360</v>
      </c>
      <c r="EJ23" s="106">
        <f t="shared" si="24"/>
        <v>1800</v>
      </c>
      <c r="EK23" s="45"/>
      <c r="EL23" s="46"/>
      <c r="EM23" s="43"/>
      <c r="EN23" s="70"/>
      <c r="EO23" s="99" t="s">
        <v>317</v>
      </c>
      <c r="EP23" s="100"/>
      <c r="EQ23" s="100"/>
      <c r="ER23" s="71">
        <v>2</v>
      </c>
      <c r="ES23" s="65">
        <v>3</v>
      </c>
      <c r="ET23" s="79">
        <v>45</v>
      </c>
      <c r="EU23" s="45" t="s">
        <v>28</v>
      </c>
      <c r="EV23" s="65">
        <f t="shared" si="25"/>
        <v>270</v>
      </c>
      <c r="EW23" s="80">
        <f t="shared" si="26"/>
        <v>1350</v>
      </c>
      <c r="EX23" s="45"/>
      <c r="EY23" s="43"/>
      <c r="EZ23" s="43"/>
      <c r="FA23" s="43"/>
      <c r="FB23" s="70"/>
      <c r="FC23" s="99" t="s">
        <v>318</v>
      </c>
      <c r="FD23" s="100"/>
      <c r="FE23" s="100"/>
      <c r="FF23" s="71">
        <v>1</v>
      </c>
      <c r="FG23" s="65">
        <v>2</v>
      </c>
      <c r="FH23" s="79">
        <v>45</v>
      </c>
      <c r="FI23" s="45" t="s">
        <v>28</v>
      </c>
      <c r="FJ23" s="65">
        <f t="shared" si="27"/>
        <v>90</v>
      </c>
      <c r="FK23" s="80">
        <f t="shared" si="28"/>
        <v>450</v>
      </c>
      <c r="FL23" s="6"/>
      <c r="FM23" s="4"/>
      <c r="FN23" s="4"/>
      <c r="FO23" s="70"/>
      <c r="FP23" s="99" t="s">
        <v>319</v>
      </c>
      <c r="FQ23" s="100"/>
      <c r="FR23" s="100"/>
      <c r="FS23" s="71"/>
      <c r="FT23" s="65"/>
      <c r="FU23" s="79">
        <v>290</v>
      </c>
      <c r="FV23" s="45" t="s">
        <v>28</v>
      </c>
      <c r="FW23" s="65">
        <f>(FS23*FT23*FU23)</f>
        <v>0</v>
      </c>
      <c r="FX23" s="80">
        <f>(FW23/$BF$2)*1000</f>
        <v>0</v>
      </c>
      <c r="FY23" s="45"/>
      <c r="FZ23" s="4"/>
      <c r="GA23" s="421"/>
      <c r="GB23" s="70"/>
      <c r="GC23" s="99" t="s">
        <v>320</v>
      </c>
      <c r="GD23" s="100"/>
      <c r="GE23" s="100"/>
      <c r="GF23" s="71"/>
      <c r="GG23" s="65"/>
      <c r="GH23" s="79">
        <v>25</v>
      </c>
      <c r="GI23" s="45" t="s">
        <v>28</v>
      </c>
      <c r="GJ23" s="65">
        <f t="shared" si="29"/>
        <v>0</v>
      </c>
      <c r="GK23" s="80">
        <f t="shared" si="30"/>
        <v>0</v>
      </c>
      <c r="GL23" s="6"/>
      <c r="GM23" s="4"/>
      <c r="GN23" s="417"/>
      <c r="GO23" s="70"/>
      <c r="GP23" s="43"/>
      <c r="GQ23" s="43"/>
      <c r="GR23" s="43"/>
      <c r="GS23" s="71"/>
      <c r="GT23" s="71"/>
      <c r="GU23" s="141"/>
      <c r="GV23" s="45" t="s">
        <v>28</v>
      </c>
      <c r="GW23" s="65"/>
      <c r="GX23" s="106"/>
      <c r="GY23" s="94"/>
      <c r="GZ23" s="4"/>
      <c r="HA23" s="416"/>
      <c r="HB23" s="70"/>
      <c r="HC23" s="99" t="s">
        <v>321</v>
      </c>
      <c r="HD23" s="100"/>
      <c r="HE23" s="100"/>
      <c r="HF23" s="65"/>
      <c r="HG23" s="65"/>
      <c r="HH23" s="141">
        <v>79.625</v>
      </c>
      <c r="HI23" s="45" t="s">
        <v>28</v>
      </c>
      <c r="HJ23" s="65">
        <f t="shared" si="33"/>
        <v>0</v>
      </c>
      <c r="HK23" s="80">
        <f t="shared" si="35"/>
        <v>0</v>
      </c>
      <c r="HL23" s="6"/>
      <c r="HM23" s="13">
        <f t="shared" si="34"/>
        <v>0</v>
      </c>
      <c r="HN23" s="417"/>
      <c r="HO23" s="70"/>
      <c r="HP23" s="99" t="s">
        <v>322</v>
      </c>
      <c r="HQ23" s="100"/>
      <c r="HR23" s="100"/>
      <c r="HS23" s="65">
        <v>1</v>
      </c>
      <c r="HT23" s="65">
        <v>5</v>
      </c>
      <c r="HU23" s="106">
        <v>15</v>
      </c>
      <c r="HV23" s="45" t="s">
        <v>28</v>
      </c>
      <c r="HW23" s="108">
        <f t="shared" si="10"/>
        <v>75</v>
      </c>
      <c r="HX23" s="107">
        <f t="shared" si="14"/>
        <v>375</v>
      </c>
      <c r="HY23" s="94"/>
      <c r="HZ23" s="4"/>
      <c r="IA23" s="70"/>
      <c r="IB23" s="112" t="s">
        <v>323</v>
      </c>
      <c r="IC23" s="100"/>
      <c r="ID23" s="100"/>
      <c r="IE23" s="65">
        <v>1</v>
      </c>
      <c r="IF23" s="65">
        <v>1</v>
      </c>
      <c r="IG23" s="79">
        <v>450</v>
      </c>
      <c r="IH23" s="45" t="s">
        <v>28</v>
      </c>
      <c r="II23" s="65">
        <f t="shared" si="42"/>
        <v>450</v>
      </c>
      <c r="IJ23" s="106">
        <f t="shared" si="43"/>
        <v>2250</v>
      </c>
      <c r="IK23" s="94"/>
      <c r="IL23" s="11">
        <f t="shared" si="44"/>
        <v>212</v>
      </c>
      <c r="IM23" s="13">
        <f t="shared" si="1"/>
        <v>260</v>
      </c>
      <c r="IN23" s="13">
        <f t="shared" si="2"/>
        <v>0</v>
      </c>
      <c r="IO23" s="13">
        <f t="shared" si="41"/>
        <v>0</v>
      </c>
      <c r="IP23" s="13">
        <f t="shared" si="4"/>
        <v>0</v>
      </c>
      <c r="IQ23" s="11">
        <f t="shared" si="5"/>
        <v>0.635</v>
      </c>
      <c r="IR23" s="11">
        <f t="shared" si="6"/>
        <v>2.25</v>
      </c>
      <c r="IS23" s="4"/>
      <c r="IT23" s="4"/>
      <c r="IU23" s="6" t="s">
        <v>28</v>
      </c>
      <c r="IV23" s="13">
        <f t="shared" si="45"/>
        <v>450</v>
      </c>
    </row>
    <row r="24" spans="1:256" ht="12.75">
      <c r="A24" s="225"/>
      <c r="B24" s="204"/>
      <c r="C24" s="245"/>
      <c r="D24" s="104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8"/>
      <c r="P24" s="207"/>
      <c r="Q24" s="208"/>
      <c r="R24" s="209"/>
      <c r="S24" s="59"/>
      <c r="T24" s="44" t="s">
        <v>324</v>
      </c>
      <c r="U24" s="43"/>
      <c r="V24" s="43"/>
      <c r="W24" s="43"/>
      <c r="X24" s="65"/>
      <c r="Y24" s="62">
        <f>AI21+AI23+AI25+AI27+AI29</f>
        <v>0</v>
      </c>
      <c r="Z24" s="63">
        <f>IF((X24)=0,0,(Y24-X24)/X24)</f>
        <v>0</v>
      </c>
      <c r="AA24" s="6"/>
      <c r="AB24" s="59"/>
      <c r="AC24" s="70"/>
      <c r="AD24" s="43"/>
      <c r="AE24" s="43"/>
      <c r="AF24" s="43"/>
      <c r="AG24" s="43"/>
      <c r="AH24" s="108"/>
      <c r="AI24" s="386"/>
      <c r="AJ24" s="408"/>
      <c r="AK24" s="266"/>
      <c r="AL24" s="45"/>
      <c r="AM24" s="43"/>
      <c r="AN24" s="70"/>
      <c r="AO24" s="43"/>
      <c r="AP24" s="43"/>
      <c r="AQ24" s="43"/>
      <c r="AR24" s="43"/>
      <c r="AS24" s="43"/>
      <c r="AT24" s="43"/>
      <c r="AU24" s="43"/>
      <c r="AV24" s="43"/>
      <c r="AW24" s="94"/>
      <c r="AX24" s="46"/>
      <c r="AY24" s="43"/>
      <c r="AZ24" s="43"/>
      <c r="BA24" s="70"/>
      <c r="BB24" s="99" t="s">
        <v>325</v>
      </c>
      <c r="BC24" s="100"/>
      <c r="BD24" s="100"/>
      <c r="BE24" s="71">
        <v>1</v>
      </c>
      <c r="BF24" s="317">
        <f>(BD4)</f>
        <v>15</v>
      </c>
      <c r="BG24" s="79">
        <v>54</v>
      </c>
      <c r="BH24" s="45" t="s">
        <v>28</v>
      </c>
      <c r="BI24" s="65">
        <f t="shared" si="40"/>
        <v>810</v>
      </c>
      <c r="BJ24" s="80">
        <f t="shared" si="36"/>
        <v>4050</v>
      </c>
      <c r="BK24" s="45"/>
      <c r="BL24" s="43"/>
      <c r="BM24" s="58"/>
      <c r="BN24" s="70"/>
      <c r="BO24" s="99" t="s">
        <v>326</v>
      </c>
      <c r="BP24" s="100"/>
      <c r="BQ24" s="43"/>
      <c r="BR24" s="71">
        <v>5</v>
      </c>
      <c r="BS24" s="65">
        <f t="shared" si="37"/>
        <v>350</v>
      </c>
      <c r="BT24" s="79">
        <v>0.112</v>
      </c>
      <c r="BU24" s="45" t="s">
        <v>28</v>
      </c>
      <c r="BV24" s="65">
        <f t="shared" si="38"/>
        <v>196</v>
      </c>
      <c r="BW24" s="80">
        <f t="shared" si="39"/>
        <v>980</v>
      </c>
      <c r="BX24" s="6"/>
      <c r="BY24" s="4"/>
      <c r="BZ24" s="4"/>
      <c r="CA24" s="6"/>
      <c r="CB24" s="112" t="s">
        <v>327</v>
      </c>
      <c r="CC24" s="100"/>
      <c r="CD24" s="43"/>
      <c r="CE24" s="71"/>
      <c r="CF24" s="65"/>
      <c r="CG24" s="79">
        <v>111.1</v>
      </c>
      <c r="CH24" s="45" t="s">
        <v>28</v>
      </c>
      <c r="CI24" s="65">
        <f t="shared" si="15"/>
        <v>0</v>
      </c>
      <c r="CJ24" s="80">
        <f t="shared" si="16"/>
        <v>0</v>
      </c>
      <c r="CK24" s="6"/>
      <c r="CL24" s="4"/>
      <c r="CM24" s="4"/>
      <c r="CN24" s="6"/>
      <c r="CO24" s="112" t="s">
        <v>328</v>
      </c>
      <c r="CP24" s="100"/>
      <c r="CQ24" s="65"/>
      <c r="CR24" s="71">
        <v>4</v>
      </c>
      <c r="CS24" s="65"/>
      <c r="CT24" s="79">
        <v>0.86</v>
      </c>
      <c r="CU24" s="45" t="s">
        <v>28</v>
      </c>
      <c r="CV24" s="65">
        <f t="shared" si="17"/>
        <v>3.44</v>
      </c>
      <c r="CW24" s="80">
        <f>(CV24/$BF$2)*1000</f>
        <v>17.2</v>
      </c>
      <c r="CX24" s="6"/>
      <c r="CY24" s="4"/>
      <c r="CZ24" s="11"/>
      <c r="DA24" s="122"/>
      <c r="DB24" s="112" t="s">
        <v>199</v>
      </c>
      <c r="DC24" s="100"/>
      <c r="DD24" s="43"/>
      <c r="DE24" s="71">
        <v>1</v>
      </c>
      <c r="DF24" s="65">
        <f t="shared" si="46"/>
        <v>150</v>
      </c>
      <c r="DG24" s="79">
        <v>0.56</v>
      </c>
      <c r="DH24" s="45" t="s">
        <v>28</v>
      </c>
      <c r="DI24" s="65">
        <f>(DE24*DF24*DG24)</f>
        <v>84.00000000000001</v>
      </c>
      <c r="DJ24" s="80">
        <f t="shared" si="47"/>
        <v>420.0000000000001</v>
      </c>
      <c r="DK24" s="6"/>
      <c r="DL24" s="4"/>
      <c r="DM24" s="4"/>
      <c r="DN24" s="6"/>
      <c r="DO24" s="38" t="s">
        <v>329</v>
      </c>
      <c r="DP24" s="43"/>
      <c r="DQ24" s="339">
        <f>$DS$6</f>
        <v>120</v>
      </c>
      <c r="DR24" s="71"/>
      <c r="DS24" s="65"/>
      <c r="DT24" s="79"/>
      <c r="DU24" s="45" t="s">
        <v>28</v>
      </c>
      <c r="DV24" s="65"/>
      <c r="DW24" s="80"/>
      <c r="DX24" s="45"/>
      <c r="DY24" s="43"/>
      <c r="DZ24" s="4"/>
      <c r="EA24" s="6"/>
      <c r="EB24" s="112" t="s">
        <v>330</v>
      </c>
      <c r="EC24" s="100"/>
      <c r="ED24" s="100"/>
      <c r="EE24" s="71">
        <v>1</v>
      </c>
      <c r="EF24" s="65">
        <v>0</v>
      </c>
      <c r="EG24" s="79">
        <v>75</v>
      </c>
      <c r="EH24" s="45"/>
      <c r="EI24" s="65">
        <f t="shared" si="23"/>
        <v>0</v>
      </c>
      <c r="EJ24" s="106">
        <f t="shared" si="24"/>
        <v>0</v>
      </c>
      <c r="EK24" s="45"/>
      <c r="EL24" s="46"/>
      <c r="EM24" s="43"/>
      <c r="EN24" s="70"/>
      <c r="EO24" s="99" t="s">
        <v>331</v>
      </c>
      <c r="EP24" s="100"/>
      <c r="EQ24" s="100"/>
      <c r="ER24" s="71">
        <v>1</v>
      </c>
      <c r="ES24" s="65">
        <v>2</v>
      </c>
      <c r="ET24" s="79">
        <v>45</v>
      </c>
      <c r="EU24" s="45" t="s">
        <v>28</v>
      </c>
      <c r="EV24" s="65">
        <f t="shared" si="25"/>
        <v>90</v>
      </c>
      <c r="EW24" s="80">
        <f t="shared" si="26"/>
        <v>450</v>
      </c>
      <c r="EX24" s="45"/>
      <c r="EY24" s="43"/>
      <c r="EZ24" s="43"/>
      <c r="FA24" s="58"/>
      <c r="FB24" s="70"/>
      <c r="FC24" s="47" t="s">
        <v>332</v>
      </c>
      <c r="FD24" s="43"/>
      <c r="FE24" s="43"/>
      <c r="FF24" s="71"/>
      <c r="FG24" s="65"/>
      <c r="FH24" s="79"/>
      <c r="FI24" s="45" t="s">
        <v>28</v>
      </c>
      <c r="FJ24" s="65"/>
      <c r="FK24" s="80"/>
      <c r="FL24" s="6"/>
      <c r="FM24" s="4"/>
      <c r="FN24" s="4"/>
      <c r="FO24" s="70"/>
      <c r="FP24" s="99" t="s">
        <v>333</v>
      </c>
      <c r="FQ24" s="100"/>
      <c r="FR24" s="100"/>
      <c r="FS24" s="71"/>
      <c r="FT24" s="65"/>
      <c r="FU24" s="79">
        <v>320</v>
      </c>
      <c r="FV24" s="45" t="s">
        <v>28</v>
      </c>
      <c r="FW24" s="65">
        <f>(FS24*FT24*FU24)</f>
        <v>0</v>
      </c>
      <c r="FX24" s="80">
        <f>(FW24/$BF$2)*1000</f>
        <v>0</v>
      </c>
      <c r="FY24" s="45"/>
      <c r="FZ24" s="4"/>
      <c r="GA24" s="421"/>
      <c r="GB24" s="70"/>
      <c r="GC24" s="99" t="s">
        <v>334</v>
      </c>
      <c r="GD24" s="100"/>
      <c r="GE24" s="100"/>
      <c r="GF24" s="71">
        <v>1</v>
      </c>
      <c r="GG24" s="65">
        <v>1</v>
      </c>
      <c r="GH24" s="79">
        <v>80</v>
      </c>
      <c r="GI24" s="45" t="s">
        <v>28</v>
      </c>
      <c r="GJ24" s="65">
        <f t="shared" si="29"/>
        <v>80</v>
      </c>
      <c r="GK24" s="80">
        <f t="shared" si="30"/>
        <v>400</v>
      </c>
      <c r="GL24" s="6"/>
      <c r="GM24" s="4"/>
      <c r="GN24" s="417"/>
      <c r="GO24" s="70"/>
      <c r="GP24" s="47" t="s">
        <v>74</v>
      </c>
      <c r="GQ24" s="43"/>
      <c r="GR24" s="43"/>
      <c r="GS24" s="142" t="s">
        <v>335</v>
      </c>
      <c r="GT24" s="317">
        <f>GZ32</f>
        <v>240</v>
      </c>
      <c r="GU24" s="143" t="s">
        <v>336</v>
      </c>
      <c r="GV24" s="45" t="s">
        <v>28</v>
      </c>
      <c r="GW24" s="65"/>
      <c r="GX24" s="106"/>
      <c r="GY24" s="94"/>
      <c r="GZ24" s="13">
        <f aca="true" t="shared" si="48" ref="GZ24:GZ31">(GS15*GT15*GU15*$GW$8)*1000</f>
        <v>0</v>
      </c>
      <c r="HA24" s="416"/>
      <c r="HB24" s="70"/>
      <c r="HC24" s="99" t="s">
        <v>337</v>
      </c>
      <c r="HD24" s="100"/>
      <c r="HE24" s="100"/>
      <c r="HF24" s="65"/>
      <c r="HG24" s="65"/>
      <c r="HH24" s="141">
        <v>91</v>
      </c>
      <c r="HI24" s="45" t="s">
        <v>28</v>
      </c>
      <c r="HJ24" s="65">
        <f t="shared" si="33"/>
        <v>0</v>
      </c>
      <c r="HK24" s="80">
        <f t="shared" si="35"/>
        <v>0</v>
      </c>
      <c r="HL24" s="6"/>
      <c r="HM24" s="13">
        <f t="shared" si="34"/>
        <v>0</v>
      </c>
      <c r="HN24" s="417"/>
      <c r="HO24" s="70"/>
      <c r="HP24" s="99" t="s">
        <v>338</v>
      </c>
      <c r="HQ24" s="100"/>
      <c r="HR24" s="100"/>
      <c r="HS24" s="65">
        <v>1</v>
      </c>
      <c r="HT24" s="65">
        <v>8</v>
      </c>
      <c r="HU24" s="106">
        <v>5</v>
      </c>
      <c r="HV24" s="45" t="s">
        <v>28</v>
      </c>
      <c r="HW24" s="108">
        <f t="shared" si="10"/>
        <v>40</v>
      </c>
      <c r="HX24" s="107">
        <f t="shared" si="14"/>
        <v>200</v>
      </c>
      <c r="HY24" s="94"/>
      <c r="HZ24" s="4"/>
      <c r="IA24" s="70"/>
      <c r="IB24" s="112" t="s">
        <v>339</v>
      </c>
      <c r="IC24" s="100"/>
      <c r="ID24" s="100"/>
      <c r="IE24" s="65">
        <v>0</v>
      </c>
      <c r="IF24" s="65">
        <v>1</v>
      </c>
      <c r="IG24" s="79">
        <v>150</v>
      </c>
      <c r="IH24" s="45" t="s">
        <v>28</v>
      </c>
      <c r="II24" s="65">
        <f t="shared" si="42"/>
        <v>150</v>
      </c>
      <c r="IJ24" s="106">
        <f t="shared" si="43"/>
        <v>750</v>
      </c>
      <c r="IK24" s="94"/>
      <c r="IL24" s="11">
        <f t="shared" si="44"/>
        <v>260</v>
      </c>
      <c r="IM24" s="13">
        <f t="shared" si="1"/>
        <v>120</v>
      </c>
      <c r="IN24" s="13">
        <f t="shared" si="2"/>
        <v>0</v>
      </c>
      <c r="IO24" s="13">
        <f t="shared" si="41"/>
        <v>0</v>
      </c>
      <c r="IP24" s="13">
        <f t="shared" si="4"/>
        <v>0</v>
      </c>
      <c r="IQ24" s="11">
        <f t="shared" si="5"/>
        <v>14.85</v>
      </c>
      <c r="IR24" s="11">
        <f t="shared" si="6"/>
        <v>2</v>
      </c>
      <c r="IS24" s="4"/>
      <c r="IT24" s="4"/>
      <c r="IU24" s="6" t="s">
        <v>28</v>
      </c>
      <c r="IV24" s="13">
        <f t="shared" si="45"/>
        <v>150</v>
      </c>
    </row>
    <row r="25" spans="1:256" ht="12.75">
      <c r="A25" s="225"/>
      <c r="B25" s="204"/>
      <c r="C25" s="245"/>
      <c r="D25" s="225"/>
      <c r="E25" s="225"/>
      <c r="F25" s="205"/>
      <c r="G25" s="205"/>
      <c r="H25" s="205"/>
      <c r="I25" s="205"/>
      <c r="J25" s="205"/>
      <c r="K25" s="205"/>
      <c r="L25" s="205"/>
      <c r="M25" s="205"/>
      <c r="N25" s="205"/>
      <c r="O25" s="208"/>
      <c r="P25" s="207"/>
      <c r="Q25" s="208"/>
      <c r="R25" s="209"/>
      <c r="S25" s="59"/>
      <c r="T25" s="44" t="s">
        <v>340</v>
      </c>
      <c r="U25" s="43"/>
      <c r="V25" s="43"/>
      <c r="W25" s="43"/>
      <c r="X25" s="65"/>
      <c r="Y25" s="466">
        <v>6000</v>
      </c>
      <c r="Z25" s="63">
        <f>IF((X25)=0,0,(Y25-X25)/X25)</f>
        <v>0</v>
      </c>
      <c r="AA25" s="6"/>
      <c r="AB25" s="59"/>
      <c r="AC25" s="70"/>
      <c r="AD25" s="43"/>
      <c r="AE25" s="45" t="s">
        <v>341</v>
      </c>
      <c r="AF25" s="43"/>
      <c r="AG25" s="43"/>
      <c r="AH25" s="108">
        <f>(IL113)</f>
        <v>2710</v>
      </c>
      <c r="AI25" s="386">
        <f>(FG55)</f>
        <v>0</v>
      </c>
      <c r="AJ25" s="408">
        <f>AH25+AI25</f>
        <v>2710</v>
      </c>
      <c r="AK25" s="389" t="s">
        <v>342</v>
      </c>
      <c r="AL25" s="45"/>
      <c r="AM25" s="43"/>
      <c r="AN25" s="70"/>
      <c r="AO25" s="43"/>
      <c r="AP25" s="43"/>
      <c r="AQ25" s="44" t="s">
        <v>343</v>
      </c>
      <c r="AR25" s="43"/>
      <c r="AS25" s="43"/>
      <c r="AT25" s="43"/>
      <c r="AU25" s="58">
        <v>325</v>
      </c>
      <c r="AV25" s="43"/>
      <c r="AW25" s="94"/>
      <c r="AX25" s="46"/>
      <c r="AY25" s="89">
        <v>365</v>
      </c>
      <c r="AZ25" s="43"/>
      <c r="BA25" s="70"/>
      <c r="BB25" s="99" t="s">
        <v>344</v>
      </c>
      <c r="BC25" s="100"/>
      <c r="BD25" s="100"/>
      <c r="BE25" s="71"/>
      <c r="BF25" s="65"/>
      <c r="BG25" s="79">
        <v>25</v>
      </c>
      <c r="BH25" s="45" t="s">
        <v>28</v>
      </c>
      <c r="BI25" s="65">
        <f t="shared" si="40"/>
        <v>0</v>
      </c>
      <c r="BJ25" s="80">
        <f t="shared" si="36"/>
        <v>0</v>
      </c>
      <c r="BK25" s="45"/>
      <c r="BL25" s="43"/>
      <c r="BM25" s="58"/>
      <c r="BN25" s="70"/>
      <c r="BO25" s="99" t="s">
        <v>345</v>
      </c>
      <c r="BP25" s="100"/>
      <c r="BQ25" s="43"/>
      <c r="BR25" s="71">
        <v>5</v>
      </c>
      <c r="BS25" s="65">
        <f t="shared" si="37"/>
        <v>350</v>
      </c>
      <c r="BT25" s="79">
        <f>$BT$12</f>
        <v>2.5</v>
      </c>
      <c r="BU25" s="45" t="s">
        <v>28</v>
      </c>
      <c r="BV25" s="65">
        <f>(BR25*(BS25/5)*BT25)+(BR23*BS23/5*BT23)</f>
        <v>877.1</v>
      </c>
      <c r="BW25" s="80">
        <f t="shared" si="39"/>
        <v>4385.5</v>
      </c>
      <c r="BX25" s="6"/>
      <c r="BY25" s="11">
        <f>(BR25*BS25/5+BR23*BS23/5)</f>
        <v>364</v>
      </c>
      <c r="BZ25" s="4"/>
      <c r="CA25" s="6"/>
      <c r="CB25" s="112" t="s">
        <v>346</v>
      </c>
      <c r="CC25" s="100"/>
      <c r="CD25" s="43"/>
      <c r="CE25" s="71"/>
      <c r="CF25" s="65"/>
      <c r="CG25" s="79">
        <v>126.5</v>
      </c>
      <c r="CH25" s="45" t="s">
        <v>28</v>
      </c>
      <c r="CI25" s="65">
        <f t="shared" si="15"/>
        <v>0</v>
      </c>
      <c r="CJ25" s="80">
        <f t="shared" si="16"/>
        <v>0</v>
      </c>
      <c r="CK25" s="6"/>
      <c r="CL25" s="4"/>
      <c r="CM25" s="4"/>
      <c r="CN25" s="6"/>
      <c r="CO25" s="112" t="s">
        <v>347</v>
      </c>
      <c r="CP25" s="100"/>
      <c r="CQ25" s="43"/>
      <c r="CR25" s="71">
        <v>4</v>
      </c>
      <c r="CS25" s="65"/>
      <c r="CT25" s="79">
        <v>0.19</v>
      </c>
      <c r="CU25" s="45" t="s">
        <v>28</v>
      </c>
      <c r="CV25" s="65">
        <f t="shared" si="17"/>
        <v>0.76</v>
      </c>
      <c r="CW25" s="80">
        <f>(CV25/$BF$2)*1000</f>
        <v>3.8</v>
      </c>
      <c r="CX25" s="6"/>
      <c r="CY25" s="4"/>
      <c r="CZ25" s="11"/>
      <c r="DA25" s="122"/>
      <c r="DB25" s="112" t="s">
        <v>216</v>
      </c>
      <c r="DC25" s="100"/>
      <c r="DD25" s="43"/>
      <c r="DE25" s="71">
        <v>1</v>
      </c>
      <c r="DF25" s="65">
        <f t="shared" si="46"/>
        <v>150</v>
      </c>
      <c r="DG25" s="79">
        <v>1.4</v>
      </c>
      <c r="DH25" s="45" t="s">
        <v>28</v>
      </c>
      <c r="DI25" s="65">
        <f>(DE25*DF25*DG25)</f>
        <v>210</v>
      </c>
      <c r="DJ25" s="80">
        <f t="shared" si="47"/>
        <v>1050</v>
      </c>
      <c r="DK25" s="6"/>
      <c r="DL25" s="4"/>
      <c r="DM25" s="4"/>
      <c r="DN25" s="6"/>
      <c r="DO25" s="112" t="s">
        <v>348</v>
      </c>
      <c r="DP25" s="100"/>
      <c r="DQ25" s="43"/>
      <c r="DR25" s="71">
        <v>1</v>
      </c>
      <c r="DS25" s="65">
        <v>25</v>
      </c>
      <c r="DT25" s="79">
        <v>30</v>
      </c>
      <c r="DU25" s="45" t="s">
        <v>28</v>
      </c>
      <c r="DV25" s="65">
        <f>(DR25*DS25*DT25)</f>
        <v>750</v>
      </c>
      <c r="DW25" s="80">
        <f>(DV25/$BF$2)*1000</f>
        <v>3750</v>
      </c>
      <c r="DX25" s="45"/>
      <c r="DY25" s="43"/>
      <c r="DZ25" s="4"/>
      <c r="EA25" s="6"/>
      <c r="EB25" s="112" t="s">
        <v>349</v>
      </c>
      <c r="EC25" s="100"/>
      <c r="ED25" s="100"/>
      <c r="EE25" s="71">
        <v>1</v>
      </c>
      <c r="EF25" s="65">
        <v>2</v>
      </c>
      <c r="EG25" s="79">
        <v>60</v>
      </c>
      <c r="EH25" s="45"/>
      <c r="EI25" s="65">
        <f t="shared" si="23"/>
        <v>120</v>
      </c>
      <c r="EJ25" s="106">
        <f t="shared" si="24"/>
        <v>600</v>
      </c>
      <c r="EK25" s="45"/>
      <c r="EL25" s="46"/>
      <c r="EM25" s="43"/>
      <c r="EN25" s="70"/>
      <c r="EO25" s="99" t="s">
        <v>350</v>
      </c>
      <c r="EP25" s="100"/>
      <c r="EQ25" s="100"/>
      <c r="ER25" s="71">
        <v>1</v>
      </c>
      <c r="ES25" s="65">
        <v>2</v>
      </c>
      <c r="ET25" s="79">
        <v>45</v>
      </c>
      <c r="EU25" s="45" t="s">
        <v>28</v>
      </c>
      <c r="EV25" s="65">
        <f t="shared" si="25"/>
        <v>90</v>
      </c>
      <c r="EW25" s="80">
        <f t="shared" si="26"/>
        <v>450</v>
      </c>
      <c r="EX25" s="45"/>
      <c r="EY25" s="43"/>
      <c r="EZ25" s="43"/>
      <c r="FA25" s="58"/>
      <c r="FB25" s="70"/>
      <c r="FC25" s="99" t="s">
        <v>351</v>
      </c>
      <c r="FD25" s="100"/>
      <c r="FE25" s="100"/>
      <c r="FF25" s="71">
        <v>1</v>
      </c>
      <c r="FG25" s="65">
        <v>2</v>
      </c>
      <c r="FH25" s="79">
        <v>58</v>
      </c>
      <c r="FI25" s="45" t="s">
        <v>28</v>
      </c>
      <c r="FJ25" s="65">
        <f aca="true" t="shared" si="49" ref="FJ25:FJ32">(FF25*FG25*FH25)</f>
        <v>116</v>
      </c>
      <c r="FK25" s="80">
        <f aca="true" t="shared" si="50" ref="FK25:FK32">(FJ25/$BF$2)*1000</f>
        <v>580</v>
      </c>
      <c r="FL25" s="6"/>
      <c r="FM25" s="4"/>
      <c r="FN25" s="4"/>
      <c r="FO25" s="70"/>
      <c r="FP25" s="47" t="s">
        <v>352</v>
      </c>
      <c r="FQ25" s="43"/>
      <c r="FR25" s="43"/>
      <c r="FS25" s="43"/>
      <c r="FT25" s="65"/>
      <c r="FU25" s="79"/>
      <c r="FV25" s="45" t="s">
        <v>28</v>
      </c>
      <c r="FW25" s="65"/>
      <c r="FX25" s="80"/>
      <c r="FY25" s="45"/>
      <c r="FZ25" s="4"/>
      <c r="GA25" s="421"/>
      <c r="GB25" s="70"/>
      <c r="GC25" s="99" t="s">
        <v>353</v>
      </c>
      <c r="GD25" s="100"/>
      <c r="GE25" s="100"/>
      <c r="GF25" s="71"/>
      <c r="GG25" s="65"/>
      <c r="GH25" s="79">
        <v>15</v>
      </c>
      <c r="GI25" s="45" t="s">
        <v>28</v>
      </c>
      <c r="GJ25" s="65">
        <f t="shared" si="29"/>
        <v>0</v>
      </c>
      <c r="GK25" s="80">
        <f t="shared" si="30"/>
        <v>0</v>
      </c>
      <c r="GL25" s="6"/>
      <c r="GM25" s="4"/>
      <c r="GN25" s="417"/>
      <c r="GO25" s="70"/>
      <c r="GP25" s="99" t="s">
        <v>354</v>
      </c>
      <c r="GQ25" s="100"/>
      <c r="GR25" s="100"/>
      <c r="GS25" s="65">
        <v>0</v>
      </c>
      <c r="GT25" s="71"/>
      <c r="GU25" s="71"/>
      <c r="GV25" s="45" t="s">
        <v>28</v>
      </c>
      <c r="GW25" s="65"/>
      <c r="GX25" s="106"/>
      <c r="GY25" s="94"/>
      <c r="GZ25" s="13">
        <f t="shared" si="48"/>
        <v>0</v>
      </c>
      <c r="HA25" s="416"/>
      <c r="HB25" s="70"/>
      <c r="HC25" s="99" t="s">
        <v>355</v>
      </c>
      <c r="HD25" s="100"/>
      <c r="HE25" s="100"/>
      <c r="HF25" s="65"/>
      <c r="HG25" s="65"/>
      <c r="HH25" s="141">
        <v>104.12</v>
      </c>
      <c r="HI25" s="45" t="s">
        <v>28</v>
      </c>
      <c r="HJ25" s="65">
        <f t="shared" si="33"/>
        <v>0</v>
      </c>
      <c r="HK25" s="80">
        <f t="shared" si="35"/>
        <v>0</v>
      </c>
      <c r="HL25" s="6"/>
      <c r="HM25" s="13">
        <f t="shared" si="34"/>
        <v>0</v>
      </c>
      <c r="HN25" s="417"/>
      <c r="HO25" s="70"/>
      <c r="HP25" s="99" t="s">
        <v>356</v>
      </c>
      <c r="HQ25" s="100"/>
      <c r="HR25" s="100"/>
      <c r="HS25" s="65">
        <v>2</v>
      </c>
      <c r="HT25" s="65">
        <v>4</v>
      </c>
      <c r="HU25" s="106">
        <v>20</v>
      </c>
      <c r="HV25" s="45" t="s">
        <v>28</v>
      </c>
      <c r="HW25" s="108">
        <f t="shared" si="10"/>
        <v>160</v>
      </c>
      <c r="HX25" s="107">
        <f t="shared" si="14"/>
        <v>800</v>
      </c>
      <c r="HY25" s="94"/>
      <c r="HZ25" s="4"/>
      <c r="IA25" s="70"/>
      <c r="IB25" s="112" t="s">
        <v>357</v>
      </c>
      <c r="IC25" s="100"/>
      <c r="ID25" s="100"/>
      <c r="IE25" s="65">
        <v>1</v>
      </c>
      <c r="IF25" s="65">
        <v>1</v>
      </c>
      <c r="IG25" s="79">
        <v>25</v>
      </c>
      <c r="IH25" s="45" t="s">
        <v>28</v>
      </c>
      <c r="II25" s="65">
        <f t="shared" si="42"/>
        <v>25</v>
      </c>
      <c r="IJ25" s="106">
        <f t="shared" si="43"/>
        <v>125</v>
      </c>
      <c r="IK25" s="94"/>
      <c r="IL25" s="11">
        <f t="shared" si="44"/>
        <v>0</v>
      </c>
      <c r="IM25" s="13">
        <f t="shared" si="1"/>
        <v>60</v>
      </c>
      <c r="IN25" s="13">
        <f t="shared" si="2"/>
        <v>0</v>
      </c>
      <c r="IO25" s="13">
        <f t="shared" si="41"/>
        <v>0</v>
      </c>
      <c r="IP25" s="13">
        <f t="shared" si="4"/>
        <v>0</v>
      </c>
      <c r="IQ25" s="11">
        <f t="shared" si="5"/>
        <v>0</v>
      </c>
      <c r="IR25" s="11">
        <f t="shared" si="6"/>
        <v>16</v>
      </c>
      <c r="IS25" s="4"/>
      <c r="IT25" s="4"/>
      <c r="IU25" s="6" t="s">
        <v>28</v>
      </c>
      <c r="IV25" s="13">
        <f t="shared" si="45"/>
        <v>25</v>
      </c>
    </row>
    <row r="26" spans="1:256" ht="13.5" thickBot="1">
      <c r="A26" s="225"/>
      <c r="B26" s="204"/>
      <c r="C26" s="245"/>
      <c r="D26" s="104"/>
      <c r="E26" s="225"/>
      <c r="F26" s="225"/>
      <c r="G26" s="225"/>
      <c r="H26" s="74"/>
      <c r="I26" s="225"/>
      <c r="J26" s="74"/>
      <c r="K26" s="277" t="s">
        <v>358</v>
      </c>
      <c r="L26" s="274" t="s">
        <v>855</v>
      </c>
      <c r="M26" s="205"/>
      <c r="N26" s="205"/>
      <c r="O26" s="208"/>
      <c r="P26" s="207"/>
      <c r="Q26" s="208"/>
      <c r="R26" s="209"/>
      <c r="S26" s="59"/>
      <c r="T26" s="44" t="s">
        <v>359</v>
      </c>
      <c r="U26" s="43"/>
      <c r="V26" s="43"/>
      <c r="W26" s="43"/>
      <c r="X26" s="65"/>
      <c r="Y26" s="62">
        <f>II45+II46</f>
        <v>700</v>
      </c>
      <c r="Z26" s="63">
        <f>IF((X26)=0,0,(Y26-X26)/X26)</f>
        <v>0</v>
      </c>
      <c r="AA26" s="6"/>
      <c r="AB26" s="59"/>
      <c r="AC26" s="70"/>
      <c r="AD26" s="43"/>
      <c r="AE26" s="43"/>
      <c r="AF26" s="43"/>
      <c r="AG26" s="43"/>
      <c r="AH26" s="108"/>
      <c r="AI26" s="386"/>
      <c r="AJ26" s="408"/>
      <c r="AK26" s="266"/>
      <c r="AL26" s="45"/>
      <c r="AM26" s="43"/>
      <c r="AN26" s="70"/>
      <c r="AO26" s="43"/>
      <c r="AP26" s="43"/>
      <c r="AQ26" s="43"/>
      <c r="AR26" s="43"/>
      <c r="AS26" s="43"/>
      <c r="AT26" s="43"/>
      <c r="AU26" s="43"/>
      <c r="AV26" s="43"/>
      <c r="AW26" s="94"/>
      <c r="AX26" s="46"/>
      <c r="AY26" s="43"/>
      <c r="AZ26" s="43"/>
      <c r="BA26" s="70"/>
      <c r="BB26" s="99" t="s">
        <v>360</v>
      </c>
      <c r="BC26" s="100"/>
      <c r="BD26" s="100"/>
      <c r="BE26" s="71">
        <v>1</v>
      </c>
      <c r="BF26" s="65">
        <v>2</v>
      </c>
      <c r="BG26" s="79">
        <v>10</v>
      </c>
      <c r="BH26" s="45" t="s">
        <v>28</v>
      </c>
      <c r="BI26" s="65">
        <f t="shared" si="40"/>
        <v>20</v>
      </c>
      <c r="BJ26" s="80">
        <f t="shared" si="36"/>
        <v>100</v>
      </c>
      <c r="BK26" s="45"/>
      <c r="BL26" s="43"/>
      <c r="BM26" s="58"/>
      <c r="BN26" s="70"/>
      <c r="BO26" s="43"/>
      <c r="BP26" s="43"/>
      <c r="BQ26" s="43"/>
      <c r="BR26" s="71"/>
      <c r="BS26" s="65"/>
      <c r="BT26" s="79"/>
      <c r="BU26" s="45" t="s">
        <v>28</v>
      </c>
      <c r="BV26" s="65"/>
      <c r="BW26" s="80"/>
      <c r="BX26" s="6"/>
      <c r="BY26" s="4"/>
      <c r="BZ26" s="4"/>
      <c r="CA26" s="6"/>
      <c r="CB26" s="59"/>
      <c r="CC26" s="43"/>
      <c r="CD26" s="43"/>
      <c r="CE26" s="71"/>
      <c r="CF26" s="65"/>
      <c r="CG26" s="79"/>
      <c r="CH26" s="45" t="s">
        <v>28</v>
      </c>
      <c r="CI26" s="65">
        <f t="shared" si="15"/>
        <v>0</v>
      </c>
      <c r="CJ26" s="80"/>
      <c r="CK26" s="6"/>
      <c r="CL26" s="4"/>
      <c r="CM26" s="4"/>
      <c r="CN26" s="6"/>
      <c r="CO26" s="59"/>
      <c r="CP26" s="43"/>
      <c r="CQ26" s="43"/>
      <c r="CR26" s="71"/>
      <c r="CS26" s="65"/>
      <c r="CT26" s="79"/>
      <c r="CU26" s="45" t="s">
        <v>28</v>
      </c>
      <c r="CV26" s="65">
        <f t="shared" si="17"/>
        <v>0</v>
      </c>
      <c r="CW26" s="80"/>
      <c r="CX26" s="6"/>
      <c r="CY26" s="4"/>
      <c r="CZ26" s="11"/>
      <c r="DA26" s="122"/>
      <c r="DB26" s="112" t="s">
        <v>234</v>
      </c>
      <c r="DC26" s="100"/>
      <c r="DD26" s="43"/>
      <c r="DE26" s="71"/>
      <c r="DF26" s="65">
        <f t="shared" si="46"/>
        <v>150</v>
      </c>
      <c r="DG26" s="79">
        <v>0.225</v>
      </c>
      <c r="DH26" s="45" t="s">
        <v>28</v>
      </c>
      <c r="DI26" s="65">
        <f>(DE26*DF26*DG26)</f>
        <v>0</v>
      </c>
      <c r="DJ26" s="80">
        <f t="shared" si="47"/>
        <v>0</v>
      </c>
      <c r="DK26" s="6"/>
      <c r="DL26" s="4"/>
      <c r="DM26" s="4"/>
      <c r="DN26" s="6"/>
      <c r="DO26" s="112" t="s">
        <v>361</v>
      </c>
      <c r="DP26" s="100"/>
      <c r="DQ26" s="43"/>
      <c r="DR26" s="71">
        <v>1</v>
      </c>
      <c r="DS26" s="338">
        <f>$DS$6</f>
        <v>120</v>
      </c>
      <c r="DT26" s="79">
        <v>12.5</v>
      </c>
      <c r="DU26" s="45" t="s">
        <v>28</v>
      </c>
      <c r="DV26" s="65">
        <f>(DR26*DS26*DT26)</f>
        <v>1500</v>
      </c>
      <c r="DW26" s="80">
        <f>(DV26/$BF$2)*1000</f>
        <v>7500</v>
      </c>
      <c r="DX26" s="45"/>
      <c r="DY26" s="43"/>
      <c r="DZ26" s="4"/>
      <c r="EA26" s="6"/>
      <c r="EB26" s="112" t="s">
        <v>362</v>
      </c>
      <c r="EC26" s="100"/>
      <c r="ED26" s="100"/>
      <c r="EE26" s="71">
        <v>0</v>
      </c>
      <c r="EF26" s="65">
        <v>1</v>
      </c>
      <c r="EG26" s="79">
        <v>180</v>
      </c>
      <c r="EH26" s="45"/>
      <c r="EI26" s="65">
        <f t="shared" si="23"/>
        <v>0</v>
      </c>
      <c r="EJ26" s="106">
        <f t="shared" si="24"/>
        <v>0</v>
      </c>
      <c r="EK26" s="45"/>
      <c r="EL26" s="46"/>
      <c r="EM26" s="43"/>
      <c r="EN26" s="70"/>
      <c r="EO26" s="99" t="s">
        <v>363</v>
      </c>
      <c r="EP26" s="100"/>
      <c r="EQ26" s="100"/>
      <c r="ER26" s="71">
        <v>1</v>
      </c>
      <c r="ES26" s="65">
        <v>2</v>
      </c>
      <c r="ET26" s="79">
        <v>45</v>
      </c>
      <c r="EU26" s="45" t="s">
        <v>28</v>
      </c>
      <c r="EV26" s="65">
        <f t="shared" si="25"/>
        <v>90</v>
      </c>
      <c r="EW26" s="80">
        <f t="shared" si="26"/>
        <v>450</v>
      </c>
      <c r="EX26" s="45"/>
      <c r="EY26" s="43"/>
      <c r="EZ26" s="43"/>
      <c r="FA26" s="58"/>
      <c r="FB26" s="70"/>
      <c r="FC26" s="99" t="s">
        <v>364</v>
      </c>
      <c r="FD26" s="100"/>
      <c r="FE26" s="100"/>
      <c r="FF26" s="71">
        <v>1</v>
      </c>
      <c r="FG26" s="65">
        <v>2</v>
      </c>
      <c r="FH26" s="79">
        <v>30</v>
      </c>
      <c r="FI26" s="45" t="s">
        <v>28</v>
      </c>
      <c r="FJ26" s="65">
        <f t="shared" si="49"/>
        <v>60</v>
      </c>
      <c r="FK26" s="80">
        <f t="shared" si="50"/>
        <v>300</v>
      </c>
      <c r="FL26" s="6"/>
      <c r="FM26" s="4"/>
      <c r="FN26" s="4"/>
      <c r="FO26" s="70"/>
      <c r="FP26" s="99" t="s">
        <v>365</v>
      </c>
      <c r="FQ26" s="100"/>
      <c r="FR26" s="100"/>
      <c r="FS26" s="71">
        <v>1</v>
      </c>
      <c r="FT26" s="65">
        <v>2</v>
      </c>
      <c r="FU26" s="79">
        <v>120</v>
      </c>
      <c r="FV26" s="45" t="s">
        <v>28</v>
      </c>
      <c r="FW26" s="65">
        <f aca="true" t="shared" si="51" ref="FW26:FW31">(FS26*FT26*FU26)</f>
        <v>240</v>
      </c>
      <c r="FX26" s="80">
        <f aca="true" t="shared" si="52" ref="FX26:FX31">(FW26/$BF$2)*1000</f>
        <v>1200</v>
      </c>
      <c r="FY26" s="45"/>
      <c r="FZ26" s="4"/>
      <c r="GA26" s="421"/>
      <c r="GB26" s="70"/>
      <c r="GC26" s="99" t="s">
        <v>366</v>
      </c>
      <c r="GD26" s="100"/>
      <c r="GE26" s="100"/>
      <c r="GF26" s="71">
        <v>1</v>
      </c>
      <c r="GG26" s="65">
        <v>1</v>
      </c>
      <c r="GH26" s="79">
        <v>10</v>
      </c>
      <c r="GI26" s="45" t="s">
        <v>28</v>
      </c>
      <c r="GJ26" s="65">
        <f t="shared" si="29"/>
        <v>10</v>
      </c>
      <c r="GK26" s="80">
        <f t="shared" si="30"/>
        <v>50</v>
      </c>
      <c r="GL26" s="6"/>
      <c r="GM26" s="4"/>
      <c r="GN26" s="417"/>
      <c r="GO26" s="70"/>
      <c r="GP26" s="99" t="s">
        <v>367</v>
      </c>
      <c r="GQ26" s="100"/>
      <c r="GR26" s="100"/>
      <c r="GS26" s="65">
        <v>0</v>
      </c>
      <c r="GT26" s="71"/>
      <c r="GU26" s="71"/>
      <c r="GV26" s="45" t="s">
        <v>28</v>
      </c>
      <c r="GW26" s="65"/>
      <c r="GX26" s="106"/>
      <c r="GY26" s="94"/>
      <c r="GZ26" s="13">
        <f t="shared" si="48"/>
        <v>0</v>
      </c>
      <c r="HA26" s="416"/>
      <c r="HB26" s="70"/>
      <c r="HC26" s="99" t="s">
        <v>368</v>
      </c>
      <c r="HD26" s="100"/>
      <c r="HE26" s="100"/>
      <c r="HF26" s="65"/>
      <c r="HG26" s="65"/>
      <c r="HH26" s="141">
        <v>118.12</v>
      </c>
      <c r="HI26" s="45" t="s">
        <v>28</v>
      </c>
      <c r="HJ26" s="65">
        <f t="shared" si="33"/>
        <v>0</v>
      </c>
      <c r="HK26" s="80">
        <f t="shared" si="35"/>
        <v>0</v>
      </c>
      <c r="HL26" s="6"/>
      <c r="HM26" s="13">
        <f t="shared" si="34"/>
        <v>0</v>
      </c>
      <c r="HN26" s="417"/>
      <c r="HO26" s="70"/>
      <c r="HP26" s="100" t="s">
        <v>369</v>
      </c>
      <c r="HQ26" s="100"/>
      <c r="HR26" s="100"/>
      <c r="HS26" s="65">
        <v>1</v>
      </c>
      <c r="HT26" s="65">
        <v>20</v>
      </c>
      <c r="HU26" s="106">
        <v>7</v>
      </c>
      <c r="HV26" s="45" t="s">
        <v>28</v>
      </c>
      <c r="HW26" s="108">
        <f t="shared" si="10"/>
        <v>140</v>
      </c>
      <c r="HX26" s="107">
        <f t="shared" si="14"/>
        <v>700</v>
      </c>
      <c r="HY26" s="94"/>
      <c r="HZ26" s="4"/>
      <c r="IA26" s="70"/>
      <c r="IB26" s="112" t="s">
        <v>370</v>
      </c>
      <c r="IC26" s="100"/>
      <c r="ID26" s="100"/>
      <c r="IE26" s="65">
        <v>1</v>
      </c>
      <c r="IF26" s="65">
        <v>1</v>
      </c>
      <c r="IG26" s="79">
        <v>100</v>
      </c>
      <c r="IH26" s="45" t="s">
        <v>28</v>
      </c>
      <c r="II26" s="65">
        <f t="shared" si="42"/>
        <v>100</v>
      </c>
      <c r="IJ26" s="106">
        <f t="shared" si="43"/>
        <v>500</v>
      </c>
      <c r="IK26" s="94"/>
      <c r="IL26" s="11">
        <f t="shared" si="44"/>
        <v>0</v>
      </c>
      <c r="IM26" s="13">
        <f t="shared" si="1"/>
        <v>40</v>
      </c>
      <c r="IN26" s="13">
        <f t="shared" si="2"/>
        <v>123.75</v>
      </c>
      <c r="IO26" s="13">
        <f t="shared" si="41"/>
        <v>0</v>
      </c>
      <c r="IP26" s="13">
        <f t="shared" si="4"/>
        <v>0</v>
      </c>
      <c r="IQ26" s="11">
        <f t="shared" si="5"/>
        <v>0</v>
      </c>
      <c r="IR26" s="11">
        <f t="shared" si="6"/>
        <v>0</v>
      </c>
      <c r="IS26" s="4"/>
      <c r="IT26" s="4"/>
      <c r="IU26" s="6" t="s">
        <v>28</v>
      </c>
      <c r="IV26" s="13">
        <f t="shared" si="45"/>
        <v>100</v>
      </c>
    </row>
    <row r="27" spans="1:256" ht="27" thickBot="1">
      <c r="A27" s="225"/>
      <c r="B27" s="204"/>
      <c r="C27" s="245"/>
      <c r="D27" s="74"/>
      <c r="E27" s="74"/>
      <c r="F27" s="113" t="s">
        <v>371</v>
      </c>
      <c r="G27" s="541"/>
      <c r="H27" s="74"/>
      <c r="I27" s="164" t="s">
        <v>855</v>
      </c>
      <c r="J27" s="225"/>
      <c r="K27" s="205"/>
      <c r="L27" s="205"/>
      <c r="M27" s="205"/>
      <c r="N27" s="205"/>
      <c r="O27" s="208"/>
      <c r="P27" s="207"/>
      <c r="Q27" s="208"/>
      <c r="R27" s="209"/>
      <c r="S27" s="59"/>
      <c r="T27" s="43"/>
      <c r="U27" s="43"/>
      <c r="V27" s="43"/>
      <c r="W27" s="43"/>
      <c r="X27" s="43"/>
      <c r="Y27" s="43"/>
      <c r="Z27" s="46"/>
      <c r="AA27" s="6"/>
      <c r="AB27" s="59"/>
      <c r="AC27" s="70"/>
      <c r="AD27" s="43"/>
      <c r="AE27" s="44" t="s">
        <v>372</v>
      </c>
      <c r="AF27" s="43"/>
      <c r="AG27" s="43"/>
      <c r="AH27" s="108">
        <f>(IM113)</f>
        <v>1040</v>
      </c>
      <c r="AI27" s="386">
        <f>(FT55)</f>
        <v>0</v>
      </c>
      <c r="AJ27" s="408">
        <f>AH27+AI27</f>
        <v>1040</v>
      </c>
      <c r="AK27" s="389" t="s">
        <v>373</v>
      </c>
      <c r="AL27" s="45"/>
      <c r="AM27" s="43"/>
      <c r="AN27" s="70"/>
      <c r="AO27" s="43"/>
      <c r="AP27" s="43"/>
      <c r="AQ27" s="44" t="s">
        <v>374</v>
      </c>
      <c r="AR27" s="43"/>
      <c r="AS27" s="43"/>
      <c r="AT27" s="43"/>
      <c r="AU27" s="307">
        <f>(AY25-AU25-AV49)</f>
        <v>25</v>
      </c>
      <c r="AV27" s="43"/>
      <c r="AW27" s="94"/>
      <c r="AX27" s="46"/>
      <c r="AY27" s="43"/>
      <c r="AZ27" s="43"/>
      <c r="BA27" s="70"/>
      <c r="BB27" s="99" t="s">
        <v>375</v>
      </c>
      <c r="BC27" s="100"/>
      <c r="BD27" s="100"/>
      <c r="BE27" s="71">
        <v>1</v>
      </c>
      <c r="BF27" s="65">
        <v>2</v>
      </c>
      <c r="BG27" s="79">
        <v>4.95</v>
      </c>
      <c r="BH27" s="45" t="s">
        <v>28</v>
      </c>
      <c r="BI27" s="65">
        <f t="shared" si="40"/>
        <v>9.9</v>
      </c>
      <c r="BJ27" s="80">
        <f t="shared" si="36"/>
        <v>49.5</v>
      </c>
      <c r="BK27" s="45"/>
      <c r="BL27" s="43"/>
      <c r="BM27" s="58"/>
      <c r="BN27" s="70"/>
      <c r="BO27" s="47" t="s">
        <v>376</v>
      </c>
      <c r="BP27" s="43"/>
      <c r="BQ27" s="317">
        <f>($BR$10)</f>
        <v>200</v>
      </c>
      <c r="BR27" s="71"/>
      <c r="BS27" s="65"/>
      <c r="BT27" s="79"/>
      <c r="BU27" s="45" t="s">
        <v>28</v>
      </c>
      <c r="BV27" s="65"/>
      <c r="BW27" s="80"/>
      <c r="BX27" s="6"/>
      <c r="BY27" s="4"/>
      <c r="BZ27" s="4"/>
      <c r="CA27" s="6"/>
      <c r="CB27" s="38" t="s">
        <v>377</v>
      </c>
      <c r="CC27" s="43"/>
      <c r="CD27" s="43"/>
      <c r="CE27" s="71"/>
      <c r="CF27" s="65"/>
      <c r="CG27" s="79"/>
      <c r="CH27" s="45" t="s">
        <v>28</v>
      </c>
      <c r="CI27" s="65">
        <f t="shared" si="15"/>
        <v>0</v>
      </c>
      <c r="CJ27" s="80"/>
      <c r="CK27" s="6"/>
      <c r="CL27" s="4"/>
      <c r="CM27" s="4"/>
      <c r="CN27" s="6"/>
      <c r="CO27" s="38" t="s">
        <v>378</v>
      </c>
      <c r="CP27" s="43"/>
      <c r="CQ27" s="43"/>
      <c r="CR27" s="71"/>
      <c r="CS27" s="65"/>
      <c r="CT27" s="79"/>
      <c r="CU27" s="45" t="s">
        <v>28</v>
      </c>
      <c r="CV27" s="65">
        <f t="shared" si="17"/>
        <v>0</v>
      </c>
      <c r="CW27" s="80"/>
      <c r="CX27" s="6"/>
      <c r="CY27" s="4"/>
      <c r="CZ27" s="11"/>
      <c r="DA27" s="122"/>
      <c r="DB27" s="112" t="s">
        <v>253</v>
      </c>
      <c r="DC27" s="100"/>
      <c r="DD27" s="43"/>
      <c r="DE27" s="71">
        <v>4</v>
      </c>
      <c r="DF27" s="65">
        <f t="shared" si="46"/>
        <v>150</v>
      </c>
      <c r="DG27" s="79">
        <v>0.05</v>
      </c>
      <c r="DH27" s="45" t="s">
        <v>28</v>
      </c>
      <c r="DI27" s="65">
        <f>(DE27*DF27*DG27)</f>
        <v>30</v>
      </c>
      <c r="DJ27" s="80">
        <f t="shared" si="47"/>
        <v>150</v>
      </c>
      <c r="DK27" s="6"/>
      <c r="DL27" s="4"/>
      <c r="DM27" s="4"/>
      <c r="DN27" s="6"/>
      <c r="DO27" s="112" t="s">
        <v>379</v>
      </c>
      <c r="DP27" s="100"/>
      <c r="DQ27" s="43"/>
      <c r="DR27" s="71">
        <v>1</v>
      </c>
      <c r="DS27" s="338">
        <f>$DS$6</f>
        <v>120</v>
      </c>
      <c r="DT27" s="79">
        <v>0.53</v>
      </c>
      <c r="DU27" s="45" t="s">
        <v>28</v>
      </c>
      <c r="DV27" s="65">
        <f>(DR27*DS27*DT27)</f>
        <v>63.6</v>
      </c>
      <c r="DW27" s="80">
        <f>(DV27/$BF$2)*1000</f>
        <v>318</v>
      </c>
      <c r="DX27" s="45"/>
      <c r="DY27" s="43"/>
      <c r="DZ27" s="4"/>
      <c r="EA27" s="6"/>
      <c r="EB27" s="112" t="s">
        <v>380</v>
      </c>
      <c r="EC27" s="100"/>
      <c r="ED27" s="100"/>
      <c r="EE27" s="71">
        <v>2</v>
      </c>
      <c r="EF27" s="65">
        <v>8</v>
      </c>
      <c r="EG27" s="79">
        <v>50</v>
      </c>
      <c r="EH27" s="45"/>
      <c r="EI27" s="65">
        <f t="shared" si="23"/>
        <v>800</v>
      </c>
      <c r="EJ27" s="106">
        <f t="shared" si="24"/>
        <v>4000</v>
      </c>
      <c r="EK27" s="45"/>
      <c r="EL27" s="46"/>
      <c r="EM27" s="43"/>
      <c r="EN27" s="70"/>
      <c r="EO27" s="99" t="s">
        <v>381</v>
      </c>
      <c r="EP27" s="100"/>
      <c r="EQ27" s="100"/>
      <c r="ER27" s="71">
        <v>1</v>
      </c>
      <c r="ES27" s="65">
        <v>2</v>
      </c>
      <c r="ET27" s="79">
        <v>130</v>
      </c>
      <c r="EU27" s="45" t="s">
        <v>28</v>
      </c>
      <c r="EV27" s="65">
        <f t="shared" si="25"/>
        <v>260</v>
      </c>
      <c r="EW27" s="80">
        <f t="shared" si="26"/>
        <v>1300</v>
      </c>
      <c r="EX27" s="45"/>
      <c r="EY27" s="43"/>
      <c r="EZ27" s="43"/>
      <c r="FA27" s="58"/>
      <c r="FB27" s="70"/>
      <c r="FC27" s="99" t="s">
        <v>382</v>
      </c>
      <c r="FD27" s="100"/>
      <c r="FE27" s="100"/>
      <c r="FF27" s="71">
        <v>1</v>
      </c>
      <c r="FG27" s="65">
        <v>2</v>
      </c>
      <c r="FH27" s="79">
        <v>60</v>
      </c>
      <c r="FI27" s="45" t="s">
        <v>28</v>
      </c>
      <c r="FJ27" s="65">
        <f t="shared" si="49"/>
        <v>120</v>
      </c>
      <c r="FK27" s="80">
        <f t="shared" si="50"/>
        <v>600</v>
      </c>
      <c r="FL27" s="6"/>
      <c r="FM27" s="4"/>
      <c r="FN27" s="415"/>
      <c r="FO27" s="70"/>
      <c r="FP27" s="99" t="s">
        <v>383</v>
      </c>
      <c r="FQ27" s="100"/>
      <c r="FR27" s="100"/>
      <c r="FS27" s="71">
        <v>0</v>
      </c>
      <c r="FT27" s="65">
        <v>1</v>
      </c>
      <c r="FU27" s="79">
        <v>250</v>
      </c>
      <c r="FV27" s="45" t="s">
        <v>28</v>
      </c>
      <c r="FW27" s="65">
        <f t="shared" si="51"/>
        <v>0</v>
      </c>
      <c r="FX27" s="80">
        <f t="shared" si="52"/>
        <v>0</v>
      </c>
      <c r="FY27" s="45"/>
      <c r="FZ27" s="4"/>
      <c r="GA27" s="421"/>
      <c r="GB27" s="70"/>
      <c r="GC27" s="99" t="s">
        <v>384</v>
      </c>
      <c r="GD27" s="100"/>
      <c r="GE27" s="100"/>
      <c r="GF27" s="71">
        <v>1</v>
      </c>
      <c r="GG27" s="65">
        <v>2</v>
      </c>
      <c r="GH27" s="79">
        <v>15</v>
      </c>
      <c r="GI27" s="45" t="s">
        <v>28</v>
      </c>
      <c r="GJ27" s="65">
        <f t="shared" si="29"/>
        <v>30</v>
      </c>
      <c r="GK27" s="80">
        <f t="shared" si="30"/>
        <v>150</v>
      </c>
      <c r="GL27" s="6"/>
      <c r="GM27" s="4"/>
      <c r="GN27" s="417"/>
      <c r="GO27" s="70"/>
      <c r="GP27" s="99" t="s">
        <v>385</v>
      </c>
      <c r="GQ27" s="100"/>
      <c r="GR27" s="100"/>
      <c r="GS27" s="65">
        <v>0</v>
      </c>
      <c r="GT27" s="71"/>
      <c r="GU27" s="71"/>
      <c r="GV27" s="45" t="s">
        <v>28</v>
      </c>
      <c r="GW27" s="65"/>
      <c r="GX27" s="106"/>
      <c r="GY27" s="94"/>
      <c r="GZ27" s="13">
        <f t="shared" si="48"/>
        <v>0</v>
      </c>
      <c r="HA27" s="416"/>
      <c r="HB27" s="70"/>
      <c r="HC27" s="152" t="s">
        <v>386</v>
      </c>
      <c r="HD27" s="138"/>
      <c r="HE27" s="138"/>
      <c r="HF27" s="65"/>
      <c r="HG27" s="65"/>
      <c r="HH27" s="141"/>
      <c r="HI27" s="45" t="s">
        <v>28</v>
      </c>
      <c r="HJ27" s="65"/>
      <c r="HK27" s="80"/>
      <c r="HL27" s="6"/>
      <c r="HM27" s="13"/>
      <c r="HN27" s="417"/>
      <c r="HO27" s="70"/>
      <c r="HP27" s="100"/>
      <c r="HQ27" s="100"/>
      <c r="HR27" s="100"/>
      <c r="HS27" s="65"/>
      <c r="HT27" s="65"/>
      <c r="HU27" s="106"/>
      <c r="HV27" s="45" t="s">
        <v>28</v>
      </c>
      <c r="HW27" s="108">
        <f t="shared" si="10"/>
        <v>0</v>
      </c>
      <c r="HX27" s="107">
        <f t="shared" si="14"/>
        <v>0</v>
      </c>
      <c r="HY27" s="94"/>
      <c r="HZ27" s="4"/>
      <c r="IA27" s="70"/>
      <c r="IB27" s="112" t="s">
        <v>387</v>
      </c>
      <c r="IC27" s="100"/>
      <c r="ID27" s="100"/>
      <c r="IE27" s="65">
        <v>1</v>
      </c>
      <c r="IF27" s="65">
        <v>1</v>
      </c>
      <c r="IG27" s="79">
        <v>150</v>
      </c>
      <c r="IH27" s="45" t="s">
        <v>28</v>
      </c>
      <c r="II27" s="65">
        <f t="shared" si="42"/>
        <v>150</v>
      </c>
      <c r="IJ27" s="106">
        <f t="shared" si="43"/>
        <v>750</v>
      </c>
      <c r="IK27" s="94"/>
      <c r="IL27" s="11">
        <f t="shared" si="44"/>
        <v>0</v>
      </c>
      <c r="IM27" s="13">
        <f t="shared" si="1"/>
        <v>0</v>
      </c>
      <c r="IN27" s="13">
        <f t="shared" si="2"/>
        <v>142.5</v>
      </c>
      <c r="IO27" s="13">
        <f t="shared" si="41"/>
        <v>0</v>
      </c>
      <c r="IP27" s="13">
        <f t="shared" si="4"/>
        <v>0</v>
      </c>
      <c r="IQ27" s="11">
        <f t="shared" si="5"/>
        <v>166.95000000000002</v>
      </c>
      <c r="IR27" s="11">
        <f t="shared" si="6"/>
        <v>0</v>
      </c>
      <c r="IS27" s="4"/>
      <c r="IT27" s="4"/>
      <c r="IU27" s="6" t="s">
        <v>28</v>
      </c>
      <c r="IV27" s="13">
        <f t="shared" si="45"/>
        <v>150</v>
      </c>
    </row>
    <row r="28" spans="1:256" ht="12.75">
      <c r="A28" s="225"/>
      <c r="B28" s="204"/>
      <c r="C28" s="245"/>
      <c r="D28" s="205"/>
      <c r="E28" s="225"/>
      <c r="F28" s="225"/>
      <c r="G28" s="225"/>
      <c r="H28" s="225"/>
      <c r="I28" s="74"/>
      <c r="J28" s="165"/>
      <c r="K28" s="283" t="s">
        <v>388</v>
      </c>
      <c r="L28" s="212">
        <f>DATE(98,2,27)</f>
        <v>35853</v>
      </c>
      <c r="M28" s="205"/>
      <c r="N28" s="205"/>
      <c r="O28" s="208"/>
      <c r="P28" s="207"/>
      <c r="Q28" s="208"/>
      <c r="R28" s="209"/>
      <c r="S28" s="59"/>
      <c r="T28" s="356" t="s">
        <v>389</v>
      </c>
      <c r="U28" s="357"/>
      <c r="V28" s="358"/>
      <c r="W28" s="43"/>
      <c r="X28" s="62">
        <f>SUM(X29:X32)</f>
        <v>0</v>
      </c>
      <c r="Y28" s="359">
        <f>SUM(Y29:Y32)</f>
        <v>40405.53609728</v>
      </c>
      <c r="Z28" s="63">
        <f>IF((X28)=0,0,(Y28-X28)/X28)</f>
        <v>0</v>
      </c>
      <c r="AA28" s="6"/>
      <c r="AB28" s="59"/>
      <c r="AC28" s="70"/>
      <c r="AD28" s="43"/>
      <c r="AE28" s="43"/>
      <c r="AF28" s="43"/>
      <c r="AG28" s="43"/>
      <c r="AH28" s="108"/>
      <c r="AI28" s="386"/>
      <c r="AJ28" s="408"/>
      <c r="AK28" s="266"/>
      <c r="AL28" s="45"/>
      <c r="AM28" s="43"/>
      <c r="AN28" s="70"/>
      <c r="AO28" s="43"/>
      <c r="AP28" s="43"/>
      <c r="AQ28" s="43"/>
      <c r="AR28" s="43"/>
      <c r="AS28" s="43"/>
      <c r="AT28" s="43"/>
      <c r="AU28" s="43"/>
      <c r="AV28" s="43"/>
      <c r="AW28" s="94"/>
      <c r="AX28" s="46"/>
      <c r="AY28" s="43"/>
      <c r="AZ28" s="43"/>
      <c r="BA28" s="70"/>
      <c r="BB28" s="99" t="s">
        <v>390</v>
      </c>
      <c r="BC28" s="100"/>
      <c r="BD28" s="100"/>
      <c r="BE28" s="71">
        <v>2</v>
      </c>
      <c r="BF28" s="65">
        <v>3</v>
      </c>
      <c r="BG28" s="79">
        <v>5.6</v>
      </c>
      <c r="BH28" s="45" t="s">
        <v>28</v>
      </c>
      <c r="BI28" s="65">
        <f t="shared" si="40"/>
        <v>33.599999999999994</v>
      </c>
      <c r="BJ28" s="80">
        <f t="shared" si="36"/>
        <v>167.99999999999997</v>
      </c>
      <c r="BK28" s="45"/>
      <c r="BL28" s="43"/>
      <c r="BM28" s="58"/>
      <c r="BN28" s="70"/>
      <c r="BO28" s="99" t="s">
        <v>250</v>
      </c>
      <c r="BP28" s="100"/>
      <c r="BQ28" s="43"/>
      <c r="BR28" s="71">
        <v>1</v>
      </c>
      <c r="BS28" s="65">
        <f aca="true" t="shared" si="53" ref="BS28:BS34">($BR$10)</f>
        <v>200</v>
      </c>
      <c r="BT28" s="79">
        <v>0.077</v>
      </c>
      <c r="BU28" s="45" t="s">
        <v>28</v>
      </c>
      <c r="BV28" s="65">
        <f aca="true" t="shared" si="54" ref="BV28:BV33">(BR28*BS28*BT28)</f>
        <v>15.4</v>
      </c>
      <c r="BW28" s="80">
        <f aca="true" t="shared" si="55" ref="BW28:BW34">(BV28/$BF$2)*1000</f>
        <v>77</v>
      </c>
      <c r="BX28" s="6"/>
      <c r="BY28" s="4"/>
      <c r="BZ28" s="4"/>
      <c r="CA28" s="6"/>
      <c r="CB28" s="112" t="s">
        <v>183</v>
      </c>
      <c r="CC28" s="100"/>
      <c r="CD28" s="43"/>
      <c r="CE28" s="71">
        <f>3+2+4+5</f>
        <v>14</v>
      </c>
      <c r="CF28" s="65"/>
      <c r="CG28" s="79">
        <v>11.4</v>
      </c>
      <c r="CH28" s="45" t="s">
        <v>28</v>
      </c>
      <c r="CI28" s="65">
        <f t="shared" si="15"/>
        <v>159.6</v>
      </c>
      <c r="CJ28" s="80">
        <f aca="true" t="shared" si="56" ref="CJ28:CJ38">(CI28/$BF$2)*1000</f>
        <v>797.9999999999999</v>
      </c>
      <c r="CK28" s="6"/>
      <c r="CL28" s="4"/>
      <c r="CM28" s="4"/>
      <c r="CN28" s="6"/>
      <c r="CO28" s="112" t="s">
        <v>391</v>
      </c>
      <c r="CP28" s="100"/>
      <c r="CQ28" s="43"/>
      <c r="CR28" s="71">
        <v>2</v>
      </c>
      <c r="CS28" s="65"/>
      <c r="CT28" s="79">
        <v>136</v>
      </c>
      <c r="CU28" s="45" t="s">
        <v>28</v>
      </c>
      <c r="CV28" s="65">
        <f t="shared" si="17"/>
        <v>272</v>
      </c>
      <c r="CW28" s="80">
        <f>(CV28/$BF$2)*1000</f>
        <v>1360</v>
      </c>
      <c r="CX28" s="6"/>
      <c r="CY28" s="4"/>
      <c r="CZ28" s="11"/>
      <c r="DA28" s="122"/>
      <c r="DB28" s="112" t="s">
        <v>267</v>
      </c>
      <c r="DC28" s="100"/>
      <c r="DD28" s="43"/>
      <c r="DE28" s="71">
        <v>4</v>
      </c>
      <c r="DF28" s="65">
        <f t="shared" si="46"/>
        <v>150</v>
      </c>
      <c r="DG28" s="79">
        <f>$DJ$8</f>
        <v>2</v>
      </c>
      <c r="DH28" s="45" t="s">
        <v>28</v>
      </c>
      <c r="DI28" s="65">
        <f>(DE28*(DF28/5)*DG28)</f>
        <v>240</v>
      </c>
      <c r="DJ28" s="80">
        <f t="shared" si="47"/>
        <v>1200</v>
      </c>
      <c r="DK28" s="6"/>
      <c r="DL28" s="11">
        <f>(DE28*DF28/5)</f>
        <v>120</v>
      </c>
      <c r="DM28" s="4"/>
      <c r="DN28" s="6"/>
      <c r="DO28" s="112" t="s">
        <v>392</v>
      </c>
      <c r="DP28" s="100"/>
      <c r="DQ28" s="43"/>
      <c r="DR28" s="71">
        <v>1</v>
      </c>
      <c r="DS28" s="338">
        <f>$DS$6</f>
        <v>120</v>
      </c>
      <c r="DT28" s="79">
        <v>6</v>
      </c>
      <c r="DU28" s="45" t="s">
        <v>28</v>
      </c>
      <c r="DV28" s="65">
        <f>(DR28*(DS28/5)*DT28)</f>
        <v>144</v>
      </c>
      <c r="DW28" s="80">
        <f>(DV28/$BF$2)*1000</f>
        <v>720</v>
      </c>
      <c r="DX28" s="45"/>
      <c r="DY28" s="43"/>
      <c r="DZ28" s="4"/>
      <c r="EA28" s="6"/>
      <c r="EB28" s="112" t="s">
        <v>393</v>
      </c>
      <c r="EC28" s="100"/>
      <c r="ED28" s="100"/>
      <c r="EE28" s="71">
        <v>2</v>
      </c>
      <c r="EF28" s="65">
        <v>8</v>
      </c>
      <c r="EG28" s="79">
        <v>20</v>
      </c>
      <c r="EH28" s="45"/>
      <c r="EI28" s="65">
        <f t="shared" si="23"/>
        <v>320</v>
      </c>
      <c r="EJ28" s="106">
        <f t="shared" si="24"/>
        <v>1600</v>
      </c>
      <c r="EK28" s="45"/>
      <c r="EL28" s="46"/>
      <c r="EM28" s="43"/>
      <c r="EN28" s="70"/>
      <c r="EO28" s="99" t="s">
        <v>393</v>
      </c>
      <c r="EP28" s="100"/>
      <c r="EQ28" s="100"/>
      <c r="ER28" s="71">
        <v>1</v>
      </c>
      <c r="ES28" s="65">
        <v>6</v>
      </c>
      <c r="ET28" s="79">
        <v>15</v>
      </c>
      <c r="EU28" s="45" t="s">
        <v>28</v>
      </c>
      <c r="EV28" s="65">
        <f t="shared" si="25"/>
        <v>90</v>
      </c>
      <c r="EW28" s="80">
        <f t="shared" si="26"/>
        <v>450</v>
      </c>
      <c r="EX28" s="45"/>
      <c r="EY28" s="43"/>
      <c r="EZ28" s="43"/>
      <c r="FA28" s="58"/>
      <c r="FB28" s="70"/>
      <c r="FC28" s="99" t="s">
        <v>394</v>
      </c>
      <c r="FD28" s="100"/>
      <c r="FE28" s="100"/>
      <c r="FF28" s="71"/>
      <c r="FG28" s="65"/>
      <c r="FH28" s="79">
        <v>67</v>
      </c>
      <c r="FI28" s="45" t="s">
        <v>28</v>
      </c>
      <c r="FJ28" s="65">
        <f t="shared" si="49"/>
        <v>0</v>
      </c>
      <c r="FK28" s="80">
        <f t="shared" si="50"/>
        <v>0</v>
      </c>
      <c r="FL28" s="6"/>
      <c r="FM28" s="4"/>
      <c r="FN28" s="416"/>
      <c r="FO28" s="70"/>
      <c r="FP28" s="99" t="s">
        <v>395</v>
      </c>
      <c r="FQ28" s="100"/>
      <c r="FR28" s="100"/>
      <c r="FS28" s="71"/>
      <c r="FT28" s="65"/>
      <c r="FU28" s="79">
        <v>320</v>
      </c>
      <c r="FV28" s="45" t="s">
        <v>28</v>
      </c>
      <c r="FW28" s="65">
        <f t="shared" si="51"/>
        <v>0</v>
      </c>
      <c r="FX28" s="80">
        <f t="shared" si="52"/>
        <v>0</v>
      </c>
      <c r="FY28" s="45"/>
      <c r="FZ28" s="4"/>
      <c r="GA28" s="421"/>
      <c r="GB28" s="70"/>
      <c r="GC28" s="47" t="s">
        <v>396</v>
      </c>
      <c r="GD28" s="43"/>
      <c r="GE28" s="43"/>
      <c r="GF28" s="71"/>
      <c r="GG28" s="65"/>
      <c r="GH28" s="79"/>
      <c r="GI28" s="43"/>
      <c r="GJ28" s="65"/>
      <c r="GK28" s="80"/>
      <c r="GL28" s="6"/>
      <c r="GM28" s="4"/>
      <c r="GN28" s="417"/>
      <c r="GO28" s="70"/>
      <c r="GP28" s="99" t="s">
        <v>397</v>
      </c>
      <c r="GQ28" s="100"/>
      <c r="GR28" s="100"/>
      <c r="GS28" s="65">
        <v>0</v>
      </c>
      <c r="GT28" s="71"/>
      <c r="GU28" s="71"/>
      <c r="GV28" s="45" t="s">
        <v>28</v>
      </c>
      <c r="GW28" s="65"/>
      <c r="GX28" s="106"/>
      <c r="GY28" s="94"/>
      <c r="GZ28" s="13">
        <f t="shared" si="48"/>
        <v>0</v>
      </c>
      <c r="HA28" s="416"/>
      <c r="HB28" s="70"/>
      <c r="HC28" s="99" t="s">
        <v>193</v>
      </c>
      <c r="HD28" s="100"/>
      <c r="HE28" s="100"/>
      <c r="HF28" s="65">
        <v>4</v>
      </c>
      <c r="HG28" s="65">
        <v>2</v>
      </c>
      <c r="HH28" s="141">
        <v>4.375</v>
      </c>
      <c r="HI28" s="45" t="s">
        <v>28</v>
      </c>
      <c r="HJ28" s="65">
        <f aca="true" t="shared" si="57" ref="HJ28:HJ39">IF(HG28&lt;=3,HM28,HM28*1.3)+IF($HJ$8=0,0,HM28*1.15)+IF($HJ$9=0,0,HM28*1.4)+IF($HJ$7=0,0,HM28*1.1)+IF($HJ$6=0,0,HM28*1.5)</f>
        <v>84</v>
      </c>
      <c r="HK28" s="80">
        <f aca="true" t="shared" si="58" ref="HK28:HK39">(HJ28/$BF$2)*1000</f>
        <v>420</v>
      </c>
      <c r="HL28" s="6"/>
      <c r="HM28" s="13">
        <f aca="true" t="shared" si="59" ref="HM28:HM39">(HF28*HG28*HH28)</f>
        <v>35</v>
      </c>
      <c r="HN28" s="417"/>
      <c r="HO28" s="70"/>
      <c r="HP28" s="100"/>
      <c r="HQ28" s="100"/>
      <c r="HR28" s="100"/>
      <c r="HS28" s="65"/>
      <c r="HT28" s="65"/>
      <c r="HU28" s="106"/>
      <c r="HV28" s="45" t="s">
        <v>28</v>
      </c>
      <c r="HW28" s="108">
        <f t="shared" si="10"/>
        <v>0</v>
      </c>
      <c r="HX28" s="107">
        <f t="shared" si="14"/>
        <v>0</v>
      </c>
      <c r="HY28" s="94"/>
      <c r="HZ28" s="4"/>
      <c r="IA28" s="70"/>
      <c r="IB28" s="112" t="s">
        <v>398</v>
      </c>
      <c r="IC28" s="100"/>
      <c r="ID28" s="100"/>
      <c r="IE28" s="65">
        <v>1</v>
      </c>
      <c r="IF28" s="65">
        <v>1</v>
      </c>
      <c r="IG28" s="79">
        <v>160</v>
      </c>
      <c r="IH28" s="45" t="s">
        <v>28</v>
      </c>
      <c r="II28" s="65">
        <f t="shared" si="42"/>
        <v>160</v>
      </c>
      <c r="IJ28" s="106">
        <f t="shared" si="43"/>
        <v>800</v>
      </c>
      <c r="IK28" s="94"/>
      <c r="IL28" s="11">
        <f t="shared" si="44"/>
        <v>0</v>
      </c>
      <c r="IM28" s="13">
        <f t="shared" si="1"/>
        <v>0</v>
      </c>
      <c r="IN28" s="13">
        <f t="shared" si="2"/>
        <v>0</v>
      </c>
      <c r="IO28" s="13"/>
      <c r="IP28" s="13">
        <f t="shared" si="4"/>
        <v>0</v>
      </c>
      <c r="IQ28" s="11">
        <f t="shared" si="5"/>
        <v>166.95000000000002</v>
      </c>
      <c r="IR28" s="11">
        <f t="shared" si="6"/>
        <v>0</v>
      </c>
      <c r="IS28" s="4"/>
      <c r="IT28" s="4"/>
      <c r="IU28" s="6" t="s">
        <v>28</v>
      </c>
      <c r="IV28" s="13">
        <f t="shared" si="45"/>
        <v>160</v>
      </c>
    </row>
    <row r="29" spans="1:256" ht="12.75">
      <c r="A29" s="225"/>
      <c r="B29" s="204"/>
      <c r="C29" s="245"/>
      <c r="D29" s="205"/>
      <c r="E29" s="225"/>
      <c r="F29" s="225"/>
      <c r="G29" s="225"/>
      <c r="H29" s="225"/>
      <c r="I29" s="205"/>
      <c r="J29" s="205"/>
      <c r="K29" s="205"/>
      <c r="L29" s="205"/>
      <c r="M29" s="205"/>
      <c r="N29" s="205"/>
      <c r="O29" s="208"/>
      <c r="P29" s="207"/>
      <c r="Q29" s="208"/>
      <c r="R29" s="209"/>
      <c r="S29" s="59"/>
      <c r="T29" s="44" t="s">
        <v>399</v>
      </c>
      <c r="U29" s="43"/>
      <c r="V29" s="43"/>
      <c r="W29" s="43"/>
      <c r="X29" s="65"/>
      <c r="Y29" s="62">
        <f>AH21+AH23+AH25+AH27+AH29+AH35</f>
        <v>16247</v>
      </c>
      <c r="Z29" s="63">
        <f>IF((X29)=0,0,(Y29-X29)/X29)</f>
        <v>0</v>
      </c>
      <c r="AA29" s="6"/>
      <c r="AB29" s="59"/>
      <c r="AC29" s="70"/>
      <c r="AD29" s="43"/>
      <c r="AE29" s="45" t="s">
        <v>400</v>
      </c>
      <c r="AF29" s="43"/>
      <c r="AG29" s="43"/>
      <c r="AH29" s="108">
        <f>(IN113)</f>
        <v>595</v>
      </c>
      <c r="AI29" s="386">
        <f>(GG55)</f>
        <v>0</v>
      </c>
      <c r="AJ29" s="408">
        <f>AH29+AI29</f>
        <v>595</v>
      </c>
      <c r="AK29" s="389" t="s">
        <v>401</v>
      </c>
      <c r="AL29" s="45"/>
      <c r="AM29" s="43"/>
      <c r="AN29" s="70"/>
      <c r="AO29" s="43"/>
      <c r="AP29" s="43"/>
      <c r="AQ29" s="44" t="s">
        <v>402</v>
      </c>
      <c r="AR29" s="43"/>
      <c r="AS29" s="43"/>
      <c r="AT29" s="43"/>
      <c r="AU29" s="306"/>
      <c r="AV29" s="43"/>
      <c r="AW29" s="94"/>
      <c r="AX29" s="46"/>
      <c r="AY29" s="43"/>
      <c r="AZ29" s="43"/>
      <c r="BA29" s="70"/>
      <c r="BB29" s="99" t="s">
        <v>403</v>
      </c>
      <c r="BC29" s="100"/>
      <c r="BD29" s="100"/>
      <c r="BE29" s="71"/>
      <c r="BF29" s="65"/>
      <c r="BG29" s="79">
        <v>81</v>
      </c>
      <c r="BH29" s="45" t="s">
        <v>28</v>
      </c>
      <c r="BI29" s="65">
        <f t="shared" si="40"/>
        <v>0</v>
      </c>
      <c r="BJ29" s="80">
        <f t="shared" si="36"/>
        <v>0</v>
      </c>
      <c r="BK29" s="45"/>
      <c r="BL29" s="43"/>
      <c r="BM29" s="58"/>
      <c r="BN29" s="70"/>
      <c r="BO29" s="99" t="s">
        <v>265</v>
      </c>
      <c r="BP29" s="100"/>
      <c r="BQ29" s="43"/>
      <c r="BR29" s="71">
        <v>0.05</v>
      </c>
      <c r="BS29" s="65">
        <f t="shared" si="53"/>
        <v>200</v>
      </c>
      <c r="BT29" s="79">
        <v>0.375</v>
      </c>
      <c r="BU29" s="45" t="s">
        <v>28</v>
      </c>
      <c r="BV29" s="65">
        <f t="shared" si="54"/>
        <v>3.75</v>
      </c>
      <c r="BW29" s="80">
        <f t="shared" si="55"/>
        <v>18.75</v>
      </c>
      <c r="BX29" s="6"/>
      <c r="BY29" s="4"/>
      <c r="BZ29" s="4"/>
      <c r="CA29" s="6"/>
      <c r="CB29" s="112" t="s">
        <v>197</v>
      </c>
      <c r="CC29" s="100"/>
      <c r="CD29" s="43"/>
      <c r="CE29" s="71">
        <f>2</f>
        <v>2</v>
      </c>
      <c r="CF29" s="65"/>
      <c r="CG29" s="79">
        <v>16.28</v>
      </c>
      <c r="CH29" s="45" t="s">
        <v>28</v>
      </c>
      <c r="CI29" s="65">
        <f t="shared" si="15"/>
        <v>32.56</v>
      </c>
      <c r="CJ29" s="80">
        <f t="shared" si="56"/>
        <v>162.8</v>
      </c>
      <c r="CK29" s="6"/>
      <c r="CL29" s="4"/>
      <c r="CM29" s="4"/>
      <c r="CN29" s="6"/>
      <c r="CO29" s="112" t="s">
        <v>404</v>
      </c>
      <c r="CP29" s="100"/>
      <c r="CQ29" s="43"/>
      <c r="CR29" s="71">
        <v>2</v>
      </c>
      <c r="CS29" s="65"/>
      <c r="CT29" s="79">
        <v>45</v>
      </c>
      <c r="CU29" s="45" t="s">
        <v>28</v>
      </c>
      <c r="CV29" s="65">
        <f t="shared" si="17"/>
        <v>90</v>
      </c>
      <c r="CW29" s="80">
        <f>(CV29/$BF$2)*1000</f>
        <v>450</v>
      </c>
      <c r="CX29" s="6"/>
      <c r="CY29" s="4"/>
      <c r="CZ29" s="11"/>
      <c r="DA29" s="6"/>
      <c r="DB29" s="59"/>
      <c r="DC29" s="43"/>
      <c r="DD29" s="43"/>
      <c r="DE29" s="71"/>
      <c r="DF29" s="65"/>
      <c r="DG29" s="79"/>
      <c r="DH29" s="45" t="s">
        <v>28</v>
      </c>
      <c r="DI29" s="65"/>
      <c r="DJ29" s="80"/>
      <c r="DK29" s="6"/>
      <c r="DL29" s="4"/>
      <c r="DM29" s="4"/>
      <c r="DN29" s="6"/>
      <c r="DO29" s="59"/>
      <c r="DP29" s="43"/>
      <c r="DQ29" s="43"/>
      <c r="DR29" s="71"/>
      <c r="DS29" s="65"/>
      <c r="DT29" s="79"/>
      <c r="DU29" s="45" t="s">
        <v>28</v>
      </c>
      <c r="DV29" s="65"/>
      <c r="DW29" s="80"/>
      <c r="DX29" s="45"/>
      <c r="DY29" s="43"/>
      <c r="DZ29" s="4"/>
      <c r="EA29" s="6"/>
      <c r="EB29" s="112" t="s">
        <v>405</v>
      </c>
      <c r="EC29" s="100"/>
      <c r="ED29" s="100"/>
      <c r="EE29" s="71">
        <v>2</v>
      </c>
      <c r="EF29" s="65">
        <v>8</v>
      </c>
      <c r="EG29" s="79">
        <v>10</v>
      </c>
      <c r="EH29" s="45"/>
      <c r="EI29" s="65">
        <f t="shared" si="23"/>
        <v>160</v>
      </c>
      <c r="EJ29" s="106">
        <f t="shared" si="24"/>
        <v>800</v>
      </c>
      <c r="EK29" s="45"/>
      <c r="EL29" s="46"/>
      <c r="EM29" s="43"/>
      <c r="EN29" s="70"/>
      <c r="EO29" s="99" t="s">
        <v>406</v>
      </c>
      <c r="EP29" s="100"/>
      <c r="EQ29" s="100"/>
      <c r="ER29" s="71">
        <v>1</v>
      </c>
      <c r="ES29" s="65">
        <v>6</v>
      </c>
      <c r="ET29" s="79">
        <v>6</v>
      </c>
      <c r="EU29" s="45" t="s">
        <v>28</v>
      </c>
      <c r="EV29" s="65">
        <f t="shared" si="25"/>
        <v>36</v>
      </c>
      <c r="EW29" s="80">
        <f t="shared" si="26"/>
        <v>180</v>
      </c>
      <c r="EX29" s="45"/>
      <c r="EY29" s="43"/>
      <c r="EZ29" s="43"/>
      <c r="FA29" s="58"/>
      <c r="FB29" s="70"/>
      <c r="FC29" s="99" t="s">
        <v>407</v>
      </c>
      <c r="FD29" s="100"/>
      <c r="FE29" s="100"/>
      <c r="FF29" s="71"/>
      <c r="FG29" s="65"/>
      <c r="FH29" s="79">
        <v>74</v>
      </c>
      <c r="FI29" s="45" t="s">
        <v>28</v>
      </c>
      <c r="FJ29" s="65">
        <f t="shared" si="49"/>
        <v>0</v>
      </c>
      <c r="FK29" s="80">
        <f t="shared" si="50"/>
        <v>0</v>
      </c>
      <c r="FL29" s="6"/>
      <c r="FM29" s="4"/>
      <c r="FN29" s="416"/>
      <c r="FO29" s="70"/>
      <c r="FP29" s="99" t="s">
        <v>408</v>
      </c>
      <c r="FQ29" s="100"/>
      <c r="FR29" s="100"/>
      <c r="FS29" s="71">
        <v>0</v>
      </c>
      <c r="FT29" s="65">
        <v>1</v>
      </c>
      <c r="FU29" s="79">
        <v>150</v>
      </c>
      <c r="FV29" s="45" t="s">
        <v>28</v>
      </c>
      <c r="FW29" s="65">
        <f t="shared" si="51"/>
        <v>0</v>
      </c>
      <c r="FX29" s="80">
        <f t="shared" si="52"/>
        <v>0</v>
      </c>
      <c r="FY29" s="45"/>
      <c r="FZ29" s="4"/>
      <c r="GA29" s="421"/>
      <c r="GB29" s="70"/>
      <c r="GC29" s="99" t="s">
        <v>409</v>
      </c>
      <c r="GD29" s="100"/>
      <c r="GE29" s="100"/>
      <c r="GF29" s="71">
        <v>1</v>
      </c>
      <c r="GG29" s="65">
        <v>2</v>
      </c>
      <c r="GH29" s="79">
        <v>120</v>
      </c>
      <c r="GI29" s="45" t="s">
        <v>28</v>
      </c>
      <c r="GJ29" s="65">
        <f aca="true" t="shared" si="60" ref="GJ29:GJ53">(GF29*GG29*GH29)</f>
        <v>240</v>
      </c>
      <c r="GK29" s="80">
        <f aca="true" t="shared" si="61" ref="GK29:GK53">(GJ29/$BF$2)*1000</f>
        <v>1200</v>
      </c>
      <c r="GL29" s="6"/>
      <c r="GM29" s="4"/>
      <c r="GN29" s="417"/>
      <c r="GO29" s="70"/>
      <c r="GP29" s="43"/>
      <c r="GQ29" s="43"/>
      <c r="GR29" s="43"/>
      <c r="GS29" s="43"/>
      <c r="GT29" s="43"/>
      <c r="GU29" s="43"/>
      <c r="GV29" s="43"/>
      <c r="GW29" s="43"/>
      <c r="GX29" s="106"/>
      <c r="GY29" s="46"/>
      <c r="GZ29" s="13">
        <f t="shared" si="48"/>
        <v>0</v>
      </c>
      <c r="HA29" s="416"/>
      <c r="HB29" s="70"/>
      <c r="HC29" s="99" t="s">
        <v>207</v>
      </c>
      <c r="HD29" s="100"/>
      <c r="HE29" s="100"/>
      <c r="HF29" s="65">
        <v>4</v>
      </c>
      <c r="HG29" s="65">
        <v>2</v>
      </c>
      <c r="HH29" s="141">
        <v>8.75</v>
      </c>
      <c r="HI29" s="45" t="s">
        <v>28</v>
      </c>
      <c r="HJ29" s="65">
        <f t="shared" si="57"/>
        <v>168</v>
      </c>
      <c r="HK29" s="80">
        <f t="shared" si="58"/>
        <v>840</v>
      </c>
      <c r="HL29" s="6"/>
      <c r="HM29" s="13">
        <f t="shared" si="59"/>
        <v>70</v>
      </c>
      <c r="HN29" s="417"/>
      <c r="HO29" s="70"/>
      <c r="HP29" s="100"/>
      <c r="HQ29" s="100"/>
      <c r="HR29" s="100"/>
      <c r="HS29" s="65"/>
      <c r="HT29" s="65"/>
      <c r="HU29" s="141"/>
      <c r="HV29" s="45" t="s">
        <v>28</v>
      </c>
      <c r="HW29" s="108">
        <f t="shared" si="10"/>
        <v>0</v>
      </c>
      <c r="HX29" s="107">
        <f t="shared" si="14"/>
        <v>0</v>
      </c>
      <c r="HY29" s="94"/>
      <c r="HZ29" s="4"/>
      <c r="IA29" s="70"/>
      <c r="IB29" s="112" t="s">
        <v>410</v>
      </c>
      <c r="IC29" s="100"/>
      <c r="ID29" s="100"/>
      <c r="IE29" s="65">
        <v>1</v>
      </c>
      <c r="IF29" s="65">
        <v>1</v>
      </c>
      <c r="IG29" s="79">
        <v>200</v>
      </c>
      <c r="IH29" s="45" t="s">
        <v>28</v>
      </c>
      <c r="II29" s="65">
        <f t="shared" si="42"/>
        <v>200</v>
      </c>
      <c r="IJ29" s="106">
        <f t="shared" si="43"/>
        <v>1000</v>
      </c>
      <c r="IK29" s="94"/>
      <c r="IL29" s="11">
        <f t="shared" si="44"/>
        <v>0</v>
      </c>
      <c r="IM29" s="13">
        <f t="shared" si="1"/>
        <v>0</v>
      </c>
      <c r="IN29" s="13">
        <f t="shared" si="2"/>
        <v>45</v>
      </c>
      <c r="IO29" s="13"/>
      <c r="IP29" s="13">
        <f t="shared" si="4"/>
        <v>0</v>
      </c>
      <c r="IQ29" s="11">
        <f t="shared" si="5"/>
        <v>0</v>
      </c>
      <c r="IR29" s="11">
        <f t="shared" si="6"/>
        <v>0</v>
      </c>
      <c r="IS29" s="4"/>
      <c r="IT29" s="4"/>
      <c r="IU29" s="6" t="s">
        <v>28</v>
      </c>
      <c r="IV29" s="13">
        <f t="shared" si="45"/>
        <v>200</v>
      </c>
    </row>
    <row r="30" spans="1:256" ht="12.75">
      <c r="A30" s="225"/>
      <c r="B30" s="204"/>
      <c r="C30" s="24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8"/>
      <c r="P30" s="207"/>
      <c r="Q30" s="208"/>
      <c r="R30" s="209"/>
      <c r="S30" s="59"/>
      <c r="T30" s="44" t="s">
        <v>411</v>
      </c>
      <c r="U30" s="43"/>
      <c r="V30" s="43"/>
      <c r="W30" s="43"/>
      <c r="X30" s="65"/>
      <c r="Y30" s="62">
        <f>AH9+AH11+AH13+AH15</f>
        <v>17539.22209728</v>
      </c>
      <c r="Z30" s="63">
        <f>IF((X30)=0,0,(Y30-X30)/X30)</f>
        <v>0</v>
      </c>
      <c r="AA30" s="6"/>
      <c r="AB30" s="59"/>
      <c r="AC30" s="70"/>
      <c r="AD30" s="43"/>
      <c r="AE30" s="43"/>
      <c r="AF30" s="43"/>
      <c r="AG30" s="43"/>
      <c r="AH30" s="108"/>
      <c r="AI30" s="386"/>
      <c r="AJ30" s="408"/>
      <c r="AK30" s="266"/>
      <c r="AL30" s="45"/>
      <c r="AM30" s="43"/>
      <c r="AN30" s="70"/>
      <c r="AO30" s="43"/>
      <c r="AP30" s="43"/>
      <c r="AQ30" s="43"/>
      <c r="AR30" s="43"/>
      <c r="AS30" s="43"/>
      <c r="AT30" s="166"/>
      <c r="AU30" s="166"/>
      <c r="AV30" s="43"/>
      <c r="AW30" s="94"/>
      <c r="AX30" s="46"/>
      <c r="AY30" s="43"/>
      <c r="AZ30" s="43"/>
      <c r="BA30" s="70"/>
      <c r="BB30" s="99" t="s">
        <v>412</v>
      </c>
      <c r="BC30" s="100"/>
      <c r="BD30" s="100"/>
      <c r="BE30" s="71"/>
      <c r="BF30" s="65"/>
      <c r="BG30" s="79">
        <v>13.5</v>
      </c>
      <c r="BH30" s="45" t="s">
        <v>28</v>
      </c>
      <c r="BI30" s="65">
        <f t="shared" si="40"/>
        <v>0</v>
      </c>
      <c r="BJ30" s="80">
        <f t="shared" si="36"/>
        <v>0</v>
      </c>
      <c r="BK30" s="45"/>
      <c r="BL30" s="43"/>
      <c r="BM30" s="58"/>
      <c r="BN30" s="70"/>
      <c r="BO30" s="99" t="s">
        <v>281</v>
      </c>
      <c r="BP30" s="100"/>
      <c r="BQ30" s="43"/>
      <c r="BR30" s="71">
        <v>1</v>
      </c>
      <c r="BS30" s="65">
        <f t="shared" si="53"/>
        <v>200</v>
      </c>
      <c r="BT30" s="79">
        <v>1.2</v>
      </c>
      <c r="BU30" s="45" t="s">
        <v>28</v>
      </c>
      <c r="BV30" s="65">
        <f t="shared" si="54"/>
        <v>240</v>
      </c>
      <c r="BW30" s="80">
        <f t="shared" si="55"/>
        <v>1200</v>
      </c>
      <c r="BX30" s="6"/>
      <c r="BY30" s="4"/>
      <c r="BZ30" s="4"/>
      <c r="CA30" s="6"/>
      <c r="CB30" s="112" t="s">
        <v>214</v>
      </c>
      <c r="CC30" s="100"/>
      <c r="CD30" s="43"/>
      <c r="CE30" s="71"/>
      <c r="CF30" s="65"/>
      <c r="CG30" s="79">
        <v>20.79</v>
      </c>
      <c r="CH30" s="45" t="s">
        <v>28</v>
      </c>
      <c r="CI30" s="65">
        <f t="shared" si="15"/>
        <v>0</v>
      </c>
      <c r="CJ30" s="80">
        <f t="shared" si="56"/>
        <v>0</v>
      </c>
      <c r="CK30" s="6"/>
      <c r="CL30" s="4"/>
      <c r="CM30" s="4"/>
      <c r="CN30" s="6"/>
      <c r="CO30" s="59"/>
      <c r="CP30" s="43"/>
      <c r="CQ30" s="43"/>
      <c r="CR30" s="71"/>
      <c r="CS30" s="65"/>
      <c r="CT30" s="79"/>
      <c r="CU30" s="45" t="s">
        <v>28</v>
      </c>
      <c r="CV30" s="65">
        <f t="shared" si="17"/>
        <v>0</v>
      </c>
      <c r="CW30" s="80"/>
      <c r="CX30" s="6"/>
      <c r="CY30" s="4"/>
      <c r="CZ30" s="11"/>
      <c r="DA30" s="6"/>
      <c r="DB30" s="38" t="s">
        <v>413</v>
      </c>
      <c r="DC30" s="43"/>
      <c r="DD30" s="339">
        <f>(DF7)</f>
        <v>10</v>
      </c>
      <c r="DE30" s="127" t="s">
        <v>100</v>
      </c>
      <c r="DF30" s="65"/>
      <c r="DG30" s="79"/>
      <c r="DH30" s="45" t="s">
        <v>28</v>
      </c>
      <c r="DI30" s="65"/>
      <c r="DJ30" s="80"/>
      <c r="DK30" s="6"/>
      <c r="DL30" s="4"/>
      <c r="DM30" s="4"/>
      <c r="DN30" s="6"/>
      <c r="DO30" s="38" t="s">
        <v>414</v>
      </c>
      <c r="DP30" s="43"/>
      <c r="DQ30" s="339">
        <f>$DS$7</f>
        <v>80</v>
      </c>
      <c r="DR30" s="127" t="s">
        <v>72</v>
      </c>
      <c r="DS30" s="65"/>
      <c r="DT30" s="79"/>
      <c r="DU30" s="45" t="s">
        <v>28</v>
      </c>
      <c r="DV30" s="65"/>
      <c r="DW30" s="80"/>
      <c r="DX30" s="45"/>
      <c r="DY30" s="43"/>
      <c r="DZ30" s="4"/>
      <c r="EA30" s="6"/>
      <c r="EB30" s="112" t="s">
        <v>415</v>
      </c>
      <c r="EC30" s="100"/>
      <c r="ED30" s="100"/>
      <c r="EE30" s="71">
        <v>2</v>
      </c>
      <c r="EF30" s="65">
        <v>8</v>
      </c>
      <c r="EG30" s="79">
        <v>15</v>
      </c>
      <c r="EH30" s="45"/>
      <c r="EI30" s="65">
        <f t="shared" si="23"/>
        <v>240</v>
      </c>
      <c r="EJ30" s="106">
        <f t="shared" si="24"/>
        <v>1200</v>
      </c>
      <c r="EK30" s="45"/>
      <c r="EL30" s="46"/>
      <c r="EM30" s="43"/>
      <c r="EN30" s="70"/>
      <c r="EO30" s="99" t="s">
        <v>416</v>
      </c>
      <c r="EP30" s="100"/>
      <c r="EQ30" s="100"/>
      <c r="ER30" s="71">
        <v>1</v>
      </c>
      <c r="ES30" s="65">
        <v>6</v>
      </c>
      <c r="ET30" s="79">
        <v>25</v>
      </c>
      <c r="EU30" s="45" t="s">
        <v>28</v>
      </c>
      <c r="EV30" s="65">
        <f t="shared" si="25"/>
        <v>150</v>
      </c>
      <c r="EW30" s="80">
        <f t="shared" si="26"/>
        <v>750</v>
      </c>
      <c r="EX30" s="45"/>
      <c r="EY30" s="43"/>
      <c r="EZ30" s="43"/>
      <c r="FA30" s="58"/>
      <c r="FB30" s="70"/>
      <c r="FC30" s="99" t="s">
        <v>417</v>
      </c>
      <c r="FD30" s="100"/>
      <c r="FE30" s="100"/>
      <c r="FF30" s="71"/>
      <c r="FG30" s="65"/>
      <c r="FH30" s="79">
        <v>87</v>
      </c>
      <c r="FI30" s="45" t="s">
        <v>28</v>
      </c>
      <c r="FJ30" s="65">
        <f t="shared" si="49"/>
        <v>0</v>
      </c>
      <c r="FK30" s="80">
        <f t="shared" si="50"/>
        <v>0</v>
      </c>
      <c r="FL30" s="6"/>
      <c r="FM30" s="4"/>
      <c r="FN30" s="416"/>
      <c r="FO30" s="70"/>
      <c r="FP30" s="99" t="s">
        <v>418</v>
      </c>
      <c r="FQ30" s="100"/>
      <c r="FR30" s="100"/>
      <c r="FS30" s="71">
        <v>0</v>
      </c>
      <c r="FT30" s="65">
        <v>1</v>
      </c>
      <c r="FU30" s="79">
        <v>210</v>
      </c>
      <c r="FV30" s="45" t="s">
        <v>28</v>
      </c>
      <c r="FW30" s="65">
        <f t="shared" si="51"/>
        <v>0</v>
      </c>
      <c r="FX30" s="80">
        <f t="shared" si="52"/>
        <v>0</v>
      </c>
      <c r="FY30" s="45"/>
      <c r="FZ30" s="4"/>
      <c r="GA30" s="421"/>
      <c r="GB30" s="70"/>
      <c r="GC30" s="99" t="s">
        <v>419</v>
      </c>
      <c r="GD30" s="100"/>
      <c r="GE30" s="100"/>
      <c r="GF30" s="71">
        <v>0</v>
      </c>
      <c r="GG30" s="65">
        <v>1</v>
      </c>
      <c r="GH30" s="79">
        <v>80</v>
      </c>
      <c r="GI30" s="45" t="s">
        <v>28</v>
      </c>
      <c r="GJ30" s="65">
        <f t="shared" si="60"/>
        <v>0</v>
      </c>
      <c r="GK30" s="80">
        <f t="shared" si="61"/>
        <v>0</v>
      </c>
      <c r="GL30" s="6"/>
      <c r="GM30" s="4"/>
      <c r="GN30" s="417"/>
      <c r="GO30" s="70"/>
      <c r="GP30" s="47" t="s">
        <v>420</v>
      </c>
      <c r="GQ30" s="43"/>
      <c r="GR30" s="43"/>
      <c r="GS30" s="43"/>
      <c r="GT30" s="43"/>
      <c r="GU30" s="43"/>
      <c r="GV30" s="45" t="s">
        <v>28</v>
      </c>
      <c r="GW30" s="43"/>
      <c r="GX30" s="106"/>
      <c r="GY30" s="94"/>
      <c r="GZ30" s="13">
        <f t="shared" si="48"/>
        <v>0</v>
      </c>
      <c r="HA30" s="416"/>
      <c r="HB30" s="70"/>
      <c r="HC30" s="99" t="s">
        <v>223</v>
      </c>
      <c r="HD30" s="100"/>
      <c r="HE30" s="100"/>
      <c r="HF30" s="65"/>
      <c r="HG30" s="65"/>
      <c r="HH30" s="141">
        <v>13.125</v>
      </c>
      <c r="HI30" s="45" t="s">
        <v>28</v>
      </c>
      <c r="HJ30" s="65">
        <f t="shared" si="57"/>
        <v>0</v>
      </c>
      <c r="HK30" s="80">
        <f t="shared" si="58"/>
        <v>0</v>
      </c>
      <c r="HL30" s="6"/>
      <c r="HM30" s="13">
        <f t="shared" si="59"/>
        <v>0</v>
      </c>
      <c r="HN30" s="417"/>
      <c r="HO30" s="70"/>
      <c r="HP30" s="100"/>
      <c r="HQ30" s="100"/>
      <c r="HR30" s="100"/>
      <c r="HS30" s="65"/>
      <c r="HT30" s="65"/>
      <c r="HU30" s="141"/>
      <c r="HV30" s="45" t="s">
        <v>28</v>
      </c>
      <c r="HW30" s="108">
        <f t="shared" si="10"/>
        <v>0</v>
      </c>
      <c r="HX30" s="107">
        <f t="shared" si="14"/>
        <v>0</v>
      </c>
      <c r="HY30" s="94"/>
      <c r="HZ30" s="4"/>
      <c r="IA30" s="70"/>
      <c r="IB30" s="112" t="s">
        <v>421</v>
      </c>
      <c r="IC30" s="100"/>
      <c r="ID30" s="100"/>
      <c r="IE30" s="65">
        <v>1</v>
      </c>
      <c r="IF30" s="65">
        <v>1</v>
      </c>
      <c r="IG30" s="79">
        <v>450</v>
      </c>
      <c r="IH30" s="45" t="s">
        <v>28</v>
      </c>
      <c r="II30" s="65">
        <f t="shared" si="42"/>
        <v>450</v>
      </c>
      <c r="IJ30" s="106">
        <f t="shared" si="43"/>
        <v>2250</v>
      </c>
      <c r="IK30" s="94"/>
      <c r="IL30" s="11">
        <f t="shared" si="44"/>
        <v>120</v>
      </c>
      <c r="IM30" s="13">
        <f t="shared" si="1"/>
        <v>0</v>
      </c>
      <c r="IN30" s="13">
        <f t="shared" si="2"/>
        <v>12</v>
      </c>
      <c r="IO30" s="13">
        <f aca="true" t="shared" si="62" ref="IO30:IO37">IF((BM46)=1,0,(BV46))</f>
        <v>32.725</v>
      </c>
      <c r="IP30" s="13">
        <f t="shared" si="4"/>
        <v>0</v>
      </c>
      <c r="IQ30" s="11">
        <f t="shared" si="5"/>
        <v>0</v>
      </c>
      <c r="IR30" s="11">
        <f t="shared" si="6"/>
        <v>140</v>
      </c>
      <c r="IS30" s="4"/>
      <c r="IT30" s="4"/>
      <c r="IU30" s="6" t="s">
        <v>28</v>
      </c>
      <c r="IV30" s="13">
        <f t="shared" si="45"/>
        <v>450</v>
      </c>
    </row>
    <row r="31" spans="1:256" ht="15.75">
      <c r="A31" s="225"/>
      <c r="B31" s="204"/>
      <c r="C31" s="245"/>
      <c r="D31" s="74"/>
      <c r="E31" s="102" t="s">
        <v>422</v>
      </c>
      <c r="F31" s="542"/>
      <c r="G31" s="543"/>
      <c r="H31" s="102" t="s">
        <v>423</v>
      </c>
      <c r="I31" s="116"/>
      <c r="J31" s="116"/>
      <c r="K31" s="116"/>
      <c r="L31" s="116"/>
      <c r="M31" s="205"/>
      <c r="N31" s="205"/>
      <c r="O31" s="208"/>
      <c r="P31" s="207"/>
      <c r="Q31" s="208"/>
      <c r="R31" s="209"/>
      <c r="S31" s="59"/>
      <c r="T31" s="44" t="s">
        <v>424</v>
      </c>
      <c r="U31" s="43"/>
      <c r="V31" s="43"/>
      <c r="W31" s="43"/>
      <c r="X31" s="65"/>
      <c r="Y31" s="466">
        <v>0</v>
      </c>
      <c r="Z31" s="63">
        <f>IF((X31)=0,0,(Y31-X31)/X31)</f>
        <v>0</v>
      </c>
      <c r="AA31" s="6"/>
      <c r="AB31" s="59"/>
      <c r="AC31" s="70"/>
      <c r="AD31" s="43"/>
      <c r="AE31" s="45" t="s">
        <v>425</v>
      </c>
      <c r="AF31" s="43"/>
      <c r="AG31" s="43"/>
      <c r="AH31" s="108">
        <f>(IO113)</f>
        <v>983.8199999999999</v>
      </c>
      <c r="AI31" s="386">
        <f>(GT55)</f>
        <v>0</v>
      </c>
      <c r="AJ31" s="408">
        <f>AH31+AI31</f>
        <v>983.8199999999999</v>
      </c>
      <c r="AK31" s="389" t="s">
        <v>426</v>
      </c>
      <c r="AL31" s="45"/>
      <c r="AM31" s="43"/>
      <c r="AN31" s="70"/>
      <c r="AO31" s="43"/>
      <c r="AP31" s="43"/>
      <c r="AQ31" s="44" t="s">
        <v>427</v>
      </c>
      <c r="AR31" s="43"/>
      <c r="AS31" s="43"/>
      <c r="AT31" s="43"/>
      <c r="AU31" s="306"/>
      <c r="AV31" s="43"/>
      <c r="AW31" s="94"/>
      <c r="AX31" s="46"/>
      <c r="AY31" s="43"/>
      <c r="AZ31" s="43"/>
      <c r="BA31" s="70"/>
      <c r="BB31" s="99" t="s">
        <v>428</v>
      </c>
      <c r="BC31" s="100"/>
      <c r="BD31" s="100"/>
      <c r="BE31" s="71">
        <v>0</v>
      </c>
      <c r="BF31" s="323">
        <f>(BD4)</f>
        <v>15</v>
      </c>
      <c r="BG31" s="79">
        <v>10.45</v>
      </c>
      <c r="BH31" s="45" t="s">
        <v>28</v>
      </c>
      <c r="BI31" s="65">
        <f t="shared" si="40"/>
        <v>0</v>
      </c>
      <c r="BJ31" s="80">
        <f t="shared" si="36"/>
        <v>0</v>
      </c>
      <c r="BK31" s="45"/>
      <c r="BL31" s="43"/>
      <c r="BM31" s="58"/>
      <c r="BN31" s="70"/>
      <c r="BO31" s="99" t="s">
        <v>235</v>
      </c>
      <c r="BP31" s="100"/>
      <c r="BQ31" s="43"/>
      <c r="BR31" s="71">
        <v>0.15</v>
      </c>
      <c r="BS31" s="65">
        <f t="shared" si="53"/>
        <v>200</v>
      </c>
      <c r="BT31" s="79">
        <f>BT30*1.3</f>
        <v>1.56</v>
      </c>
      <c r="BU31" s="45" t="s">
        <v>28</v>
      </c>
      <c r="BV31" s="65">
        <f t="shared" si="54"/>
        <v>46.800000000000004</v>
      </c>
      <c r="BW31" s="80">
        <f t="shared" si="55"/>
        <v>234</v>
      </c>
      <c r="BX31" s="6"/>
      <c r="BY31" s="4"/>
      <c r="BZ31" s="4"/>
      <c r="CA31" s="6"/>
      <c r="CB31" s="112" t="s">
        <v>232</v>
      </c>
      <c r="CC31" s="100"/>
      <c r="CD31" s="43"/>
      <c r="CE31" s="71"/>
      <c r="CF31" s="65"/>
      <c r="CG31" s="79">
        <v>25.4</v>
      </c>
      <c r="CH31" s="45" t="s">
        <v>28</v>
      </c>
      <c r="CI31" s="65">
        <f t="shared" si="15"/>
        <v>0</v>
      </c>
      <c r="CJ31" s="80">
        <f t="shared" si="56"/>
        <v>0</v>
      </c>
      <c r="CK31" s="6"/>
      <c r="CL31" s="4"/>
      <c r="CM31" s="4"/>
      <c r="CN31" s="6"/>
      <c r="CO31" s="38" t="s">
        <v>429</v>
      </c>
      <c r="CP31" s="43"/>
      <c r="CQ31" s="43"/>
      <c r="CR31" s="71"/>
      <c r="CS31" s="65"/>
      <c r="CT31" s="79"/>
      <c r="CU31" s="45" t="s">
        <v>28</v>
      </c>
      <c r="CV31" s="65">
        <f t="shared" si="17"/>
        <v>0</v>
      </c>
      <c r="CW31" s="80"/>
      <c r="CX31" s="6"/>
      <c r="CY31" s="4"/>
      <c r="CZ31" s="11"/>
      <c r="DA31" s="6"/>
      <c r="DB31" s="112" t="s">
        <v>185</v>
      </c>
      <c r="DC31" s="100"/>
      <c r="DD31" s="43"/>
      <c r="DE31" s="71">
        <v>0</v>
      </c>
      <c r="DF31" s="65">
        <f aca="true" t="shared" si="63" ref="DF31:DF36">$DF$7</f>
        <v>10</v>
      </c>
      <c r="DG31" s="79">
        <v>0.45</v>
      </c>
      <c r="DH31" s="45" t="s">
        <v>28</v>
      </c>
      <c r="DI31" s="65">
        <f>(DE31*DF31*DG31)</f>
        <v>0</v>
      </c>
      <c r="DJ31" s="80">
        <f aca="true" t="shared" si="64" ref="DJ31:DJ36">(DI31/$BF$2)*1000</f>
        <v>0</v>
      </c>
      <c r="DK31" s="6"/>
      <c r="DL31" s="4"/>
      <c r="DM31" s="4"/>
      <c r="DN31" s="6"/>
      <c r="DO31" s="112" t="s">
        <v>430</v>
      </c>
      <c r="DP31" s="100"/>
      <c r="DQ31" s="43"/>
      <c r="DR31" s="71">
        <v>2</v>
      </c>
      <c r="DS31" s="65">
        <v>4</v>
      </c>
      <c r="DT31" s="79">
        <v>7</v>
      </c>
      <c r="DU31" s="45" t="s">
        <v>28</v>
      </c>
      <c r="DV31" s="65">
        <f>(DR31*DS31*DT31)</f>
        <v>56</v>
      </c>
      <c r="DW31" s="80">
        <f aca="true" t="shared" si="65" ref="DW31:DW38">(DV31/$BF$2)*1000</f>
        <v>280</v>
      </c>
      <c r="DX31" s="45"/>
      <c r="DY31" s="43"/>
      <c r="DZ31" s="4"/>
      <c r="EA31" s="6"/>
      <c r="EB31" s="112" t="s">
        <v>431</v>
      </c>
      <c r="EC31" s="100"/>
      <c r="ED31" s="100"/>
      <c r="EE31" s="71">
        <v>1</v>
      </c>
      <c r="EF31" s="65">
        <v>2</v>
      </c>
      <c r="EG31" s="79">
        <v>150</v>
      </c>
      <c r="EH31" s="45"/>
      <c r="EI31" s="65">
        <f t="shared" si="23"/>
        <v>300</v>
      </c>
      <c r="EJ31" s="106">
        <f t="shared" si="24"/>
        <v>1500</v>
      </c>
      <c r="EK31" s="45"/>
      <c r="EL31" s="46"/>
      <c r="EM31" s="43"/>
      <c r="EN31" s="70"/>
      <c r="EO31" s="99" t="s">
        <v>432</v>
      </c>
      <c r="EP31" s="100"/>
      <c r="EQ31" s="100"/>
      <c r="ER31" s="71">
        <v>1</v>
      </c>
      <c r="ES31" s="65">
        <v>2</v>
      </c>
      <c r="ET31" s="79">
        <v>20</v>
      </c>
      <c r="EU31" s="45" t="s">
        <v>28</v>
      </c>
      <c r="EV31" s="65">
        <f t="shared" si="25"/>
        <v>40</v>
      </c>
      <c r="EW31" s="80">
        <f t="shared" si="26"/>
        <v>200</v>
      </c>
      <c r="EX31" s="45"/>
      <c r="EY31" s="43"/>
      <c r="EZ31" s="43"/>
      <c r="FA31" s="58"/>
      <c r="FB31" s="70"/>
      <c r="FC31" s="99" t="s">
        <v>433</v>
      </c>
      <c r="FD31" s="100"/>
      <c r="FE31" s="100"/>
      <c r="FF31" s="71"/>
      <c r="FG31" s="65"/>
      <c r="FH31" s="79">
        <v>100</v>
      </c>
      <c r="FI31" s="45" t="s">
        <v>28</v>
      </c>
      <c r="FJ31" s="65">
        <f t="shared" si="49"/>
        <v>0</v>
      </c>
      <c r="FK31" s="80">
        <f t="shared" si="50"/>
        <v>0</v>
      </c>
      <c r="FL31" s="6"/>
      <c r="FM31" s="4"/>
      <c r="FN31" s="416"/>
      <c r="FO31" s="70"/>
      <c r="FP31" s="99" t="s">
        <v>434</v>
      </c>
      <c r="FQ31" s="100"/>
      <c r="FR31" s="100"/>
      <c r="FS31" s="71"/>
      <c r="FT31" s="65"/>
      <c r="FU31" s="79">
        <v>380</v>
      </c>
      <c r="FV31" s="45" t="s">
        <v>28</v>
      </c>
      <c r="FW31" s="65">
        <f t="shared" si="51"/>
        <v>0</v>
      </c>
      <c r="FX31" s="80">
        <f t="shared" si="52"/>
        <v>0</v>
      </c>
      <c r="FY31" s="45"/>
      <c r="FZ31" s="4"/>
      <c r="GA31" s="421"/>
      <c r="GB31" s="70"/>
      <c r="GC31" s="99" t="s">
        <v>435</v>
      </c>
      <c r="GD31" s="100"/>
      <c r="GE31" s="100"/>
      <c r="GF31" s="71">
        <v>1</v>
      </c>
      <c r="GG31" s="65">
        <v>2</v>
      </c>
      <c r="GH31" s="79">
        <v>45</v>
      </c>
      <c r="GI31" s="45" t="s">
        <v>28</v>
      </c>
      <c r="GJ31" s="65">
        <f t="shared" si="60"/>
        <v>90</v>
      </c>
      <c r="GK31" s="80">
        <f t="shared" si="61"/>
        <v>450</v>
      </c>
      <c r="GL31" s="6"/>
      <c r="GM31" s="4"/>
      <c r="GN31" s="417"/>
      <c r="GO31" s="70"/>
      <c r="GP31" s="43"/>
      <c r="GQ31" s="43"/>
      <c r="GR31" s="43"/>
      <c r="GS31" s="43"/>
      <c r="GT31" s="43"/>
      <c r="GU31" s="43"/>
      <c r="GV31" s="45" t="s">
        <v>28</v>
      </c>
      <c r="GW31" s="65"/>
      <c r="GX31" s="106"/>
      <c r="GY31" s="94"/>
      <c r="GZ31" s="13">
        <f t="shared" si="48"/>
        <v>240</v>
      </c>
      <c r="HA31" s="416"/>
      <c r="HB31" s="70"/>
      <c r="HC31" s="99" t="s">
        <v>242</v>
      </c>
      <c r="HD31" s="100"/>
      <c r="HE31" s="100"/>
      <c r="HF31" s="65"/>
      <c r="HG31" s="65"/>
      <c r="HH31" s="141">
        <v>16.625</v>
      </c>
      <c r="HI31" s="45" t="s">
        <v>28</v>
      </c>
      <c r="HJ31" s="65">
        <f t="shared" si="57"/>
        <v>0</v>
      </c>
      <c r="HK31" s="80">
        <f t="shared" si="58"/>
        <v>0</v>
      </c>
      <c r="HL31" s="6"/>
      <c r="HM31" s="13">
        <f t="shared" si="59"/>
        <v>0</v>
      </c>
      <c r="HN31" s="417"/>
      <c r="HO31" s="70"/>
      <c r="HP31" s="100"/>
      <c r="HQ31" s="100"/>
      <c r="HR31" s="100"/>
      <c r="HS31" s="65"/>
      <c r="HT31" s="65"/>
      <c r="HU31" s="141"/>
      <c r="HV31" s="45" t="s">
        <v>28</v>
      </c>
      <c r="HW31" s="108">
        <f t="shared" si="10"/>
        <v>0</v>
      </c>
      <c r="HX31" s="107">
        <f t="shared" si="14"/>
        <v>0</v>
      </c>
      <c r="HY31" s="94"/>
      <c r="HZ31" s="4"/>
      <c r="IA31" s="70"/>
      <c r="IB31" s="112" t="s">
        <v>436</v>
      </c>
      <c r="IC31" s="100"/>
      <c r="ID31" s="100"/>
      <c r="IE31" s="65">
        <v>0</v>
      </c>
      <c r="IF31" s="65">
        <v>1</v>
      </c>
      <c r="IG31" s="79">
        <v>50</v>
      </c>
      <c r="IH31" s="45" t="s">
        <v>28</v>
      </c>
      <c r="II31" s="65">
        <f t="shared" si="42"/>
        <v>50</v>
      </c>
      <c r="IJ31" s="106">
        <f t="shared" si="43"/>
        <v>250</v>
      </c>
      <c r="IK31" s="94"/>
      <c r="IL31" s="11">
        <f t="shared" si="44"/>
        <v>180</v>
      </c>
      <c r="IM31" s="13">
        <f t="shared" si="1"/>
        <v>0</v>
      </c>
      <c r="IN31" s="13">
        <f t="shared" si="2"/>
        <v>0</v>
      </c>
      <c r="IO31" s="13">
        <f t="shared" si="62"/>
        <v>20.328</v>
      </c>
      <c r="IP31" s="13">
        <f t="shared" si="4"/>
        <v>0</v>
      </c>
      <c r="IQ31" s="11">
        <f t="shared" si="5"/>
        <v>33</v>
      </c>
      <c r="IR31" s="11">
        <f t="shared" si="6"/>
        <v>0</v>
      </c>
      <c r="IS31" s="4"/>
      <c r="IT31" s="4"/>
      <c r="IU31" s="6" t="s">
        <v>28</v>
      </c>
      <c r="IV31" s="13">
        <f t="shared" si="45"/>
        <v>50</v>
      </c>
    </row>
    <row r="32" spans="1:256" ht="12.75">
      <c r="A32" s="225"/>
      <c r="B32" s="204"/>
      <c r="C32" s="24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8"/>
      <c r="P32" s="207"/>
      <c r="Q32" s="208"/>
      <c r="R32" s="209"/>
      <c r="S32" s="59"/>
      <c r="T32" s="44" t="s">
        <v>437</v>
      </c>
      <c r="U32" s="43"/>
      <c r="V32" s="43"/>
      <c r="W32" s="43"/>
      <c r="X32" s="65"/>
      <c r="Y32" s="62">
        <f>AH31+AH33+AH37+AH17+AH19</f>
        <v>6619.313999999999</v>
      </c>
      <c r="Z32" s="63">
        <f>IF((X32)=0,0,(Y32-X32)/X32)</f>
        <v>0</v>
      </c>
      <c r="AA32" s="6"/>
      <c r="AB32" s="59"/>
      <c r="AC32" s="70"/>
      <c r="AD32" s="43"/>
      <c r="AE32" s="43"/>
      <c r="AF32" s="43"/>
      <c r="AG32" s="43"/>
      <c r="AH32" s="108"/>
      <c r="AI32" s="386"/>
      <c r="AJ32" s="408"/>
      <c r="AK32" s="266"/>
      <c r="AL32" s="45"/>
      <c r="AM32" s="43"/>
      <c r="AN32" s="70"/>
      <c r="AO32" s="43"/>
      <c r="AP32" s="43"/>
      <c r="AQ32" s="43"/>
      <c r="AR32" s="43"/>
      <c r="AS32" s="43"/>
      <c r="AT32" s="43"/>
      <c r="AU32" s="166"/>
      <c r="AV32" s="43"/>
      <c r="AW32" s="94"/>
      <c r="AX32" s="46"/>
      <c r="AY32" s="43"/>
      <c r="AZ32" s="43"/>
      <c r="BA32" s="70"/>
      <c r="BB32" s="99" t="s">
        <v>438</v>
      </c>
      <c r="BC32" s="100"/>
      <c r="BD32" s="100"/>
      <c r="BE32" s="71">
        <v>1</v>
      </c>
      <c r="BF32" s="324">
        <f>(BD4)</f>
        <v>15</v>
      </c>
      <c r="BG32" s="79">
        <v>7.2</v>
      </c>
      <c r="BH32" s="45" t="s">
        <v>28</v>
      </c>
      <c r="BI32" s="65">
        <f t="shared" si="40"/>
        <v>108</v>
      </c>
      <c r="BJ32" s="80">
        <f t="shared" si="36"/>
        <v>540</v>
      </c>
      <c r="BK32" s="45"/>
      <c r="BL32" s="43"/>
      <c r="BM32" s="58"/>
      <c r="BN32" s="70"/>
      <c r="BO32" s="99" t="s">
        <v>313</v>
      </c>
      <c r="BP32" s="100"/>
      <c r="BQ32" s="43"/>
      <c r="BR32" s="71">
        <f>2*0.25</f>
        <v>0.5</v>
      </c>
      <c r="BS32" s="65">
        <f t="shared" si="53"/>
        <v>200</v>
      </c>
      <c r="BT32" s="79">
        <v>0.15</v>
      </c>
      <c r="BU32" s="45" t="s">
        <v>28</v>
      </c>
      <c r="BV32" s="65">
        <f t="shared" si="54"/>
        <v>15</v>
      </c>
      <c r="BW32" s="80">
        <f t="shared" si="55"/>
        <v>75</v>
      </c>
      <c r="BX32" s="6"/>
      <c r="BY32" s="4"/>
      <c r="BZ32" s="4"/>
      <c r="CA32" s="6"/>
      <c r="CB32" s="112" t="s">
        <v>251</v>
      </c>
      <c r="CC32" s="100"/>
      <c r="CD32" s="43"/>
      <c r="CE32" s="71"/>
      <c r="CF32" s="65"/>
      <c r="CG32" s="79">
        <v>31.35</v>
      </c>
      <c r="CH32" s="45" t="s">
        <v>28</v>
      </c>
      <c r="CI32" s="65">
        <f t="shared" si="15"/>
        <v>0</v>
      </c>
      <c r="CJ32" s="80">
        <f t="shared" si="56"/>
        <v>0</v>
      </c>
      <c r="CK32" s="6"/>
      <c r="CL32" s="4"/>
      <c r="CM32" s="4"/>
      <c r="CN32" s="6"/>
      <c r="CO32" s="112" t="s">
        <v>250</v>
      </c>
      <c r="CP32" s="100"/>
      <c r="CQ32" s="100"/>
      <c r="CR32" s="71">
        <v>1</v>
      </c>
      <c r="CS32" s="65"/>
      <c r="CT32" s="79">
        <v>167</v>
      </c>
      <c r="CU32" s="45" t="s">
        <v>28</v>
      </c>
      <c r="CV32" s="65">
        <f t="shared" si="17"/>
        <v>167</v>
      </c>
      <c r="CW32" s="80">
        <f>(CV32/$BF$2)*1000</f>
        <v>835</v>
      </c>
      <c r="CX32" s="6"/>
      <c r="CY32" s="4"/>
      <c r="CZ32" s="11"/>
      <c r="DA32" s="6"/>
      <c r="DB32" s="112" t="s">
        <v>199</v>
      </c>
      <c r="DC32" s="100"/>
      <c r="DD32" s="43"/>
      <c r="DE32" s="71"/>
      <c r="DF32" s="65">
        <f t="shared" si="63"/>
        <v>10</v>
      </c>
      <c r="DG32" s="79">
        <v>0.56</v>
      </c>
      <c r="DH32" s="45" t="s">
        <v>28</v>
      </c>
      <c r="DI32" s="65">
        <f>(DE32*DF32*DG32)</f>
        <v>0</v>
      </c>
      <c r="DJ32" s="80">
        <f t="shared" si="64"/>
        <v>0</v>
      </c>
      <c r="DK32" s="6"/>
      <c r="DL32" s="4"/>
      <c r="DM32" s="4"/>
      <c r="DN32" s="6"/>
      <c r="DO32" s="112" t="s">
        <v>220</v>
      </c>
      <c r="DP32" s="100"/>
      <c r="DQ32" s="43"/>
      <c r="DR32" s="71">
        <v>0</v>
      </c>
      <c r="DS32" s="65"/>
      <c r="DT32" s="79">
        <v>350</v>
      </c>
      <c r="DU32" s="45" t="s">
        <v>28</v>
      </c>
      <c r="DV32" s="65">
        <f aca="true" t="shared" si="66" ref="DV32:DV37">(DR32*DS32*DT32)</f>
        <v>0</v>
      </c>
      <c r="DW32" s="80">
        <f t="shared" si="65"/>
        <v>0</v>
      </c>
      <c r="DX32" s="45"/>
      <c r="DY32" s="43"/>
      <c r="DZ32" s="4"/>
      <c r="EA32" s="6"/>
      <c r="EB32" s="112" t="s">
        <v>439</v>
      </c>
      <c r="EC32" s="100"/>
      <c r="ED32" s="100"/>
      <c r="EE32" s="71">
        <v>1</v>
      </c>
      <c r="EF32" s="65">
        <v>2</v>
      </c>
      <c r="EG32" s="79">
        <v>70</v>
      </c>
      <c r="EH32" s="45"/>
      <c r="EI32" s="65">
        <f t="shared" si="23"/>
        <v>140</v>
      </c>
      <c r="EJ32" s="106">
        <f t="shared" si="24"/>
        <v>700</v>
      </c>
      <c r="EK32" s="45"/>
      <c r="EL32" s="46"/>
      <c r="EM32" s="43"/>
      <c r="EN32" s="70"/>
      <c r="EO32" s="99" t="s">
        <v>440</v>
      </c>
      <c r="EP32" s="100"/>
      <c r="EQ32" s="100"/>
      <c r="ER32" s="71">
        <v>1</v>
      </c>
      <c r="ES32" s="65">
        <v>2</v>
      </c>
      <c r="ET32" s="79">
        <v>35</v>
      </c>
      <c r="EU32" s="45" t="s">
        <v>28</v>
      </c>
      <c r="EV32" s="65">
        <f t="shared" si="25"/>
        <v>70</v>
      </c>
      <c r="EW32" s="80">
        <f t="shared" si="26"/>
        <v>350</v>
      </c>
      <c r="EX32" s="45"/>
      <c r="EY32" s="43"/>
      <c r="EZ32" s="43"/>
      <c r="FA32" s="58"/>
      <c r="FB32" s="70"/>
      <c r="FC32" s="99" t="s">
        <v>441</v>
      </c>
      <c r="FD32" s="100"/>
      <c r="FE32" s="100"/>
      <c r="FF32" s="71"/>
      <c r="FG32" s="65"/>
      <c r="FH32" s="79">
        <v>138</v>
      </c>
      <c r="FI32" s="45" t="s">
        <v>28</v>
      </c>
      <c r="FJ32" s="65">
        <f t="shared" si="49"/>
        <v>0</v>
      </c>
      <c r="FK32" s="80">
        <f t="shared" si="50"/>
        <v>0</v>
      </c>
      <c r="FL32" s="6"/>
      <c r="FM32" s="4"/>
      <c r="FN32" s="416"/>
      <c r="FO32" s="70"/>
      <c r="FP32" s="47" t="s">
        <v>442</v>
      </c>
      <c r="FQ32" s="43"/>
      <c r="FR32" s="43"/>
      <c r="FS32" s="71"/>
      <c r="FT32" s="65"/>
      <c r="FU32" s="79"/>
      <c r="FV32" s="45" t="s">
        <v>28</v>
      </c>
      <c r="FW32" s="65"/>
      <c r="FX32" s="80"/>
      <c r="FY32" s="45"/>
      <c r="FZ32" s="4"/>
      <c r="GA32" s="421"/>
      <c r="GB32" s="70"/>
      <c r="GC32" s="99" t="s">
        <v>443</v>
      </c>
      <c r="GD32" s="100"/>
      <c r="GE32" s="100"/>
      <c r="GF32" s="71">
        <v>0</v>
      </c>
      <c r="GG32" s="65">
        <v>1</v>
      </c>
      <c r="GH32" s="79">
        <v>50</v>
      </c>
      <c r="GI32" s="45" t="s">
        <v>28</v>
      </c>
      <c r="GJ32" s="65">
        <f t="shared" si="60"/>
        <v>0</v>
      </c>
      <c r="GK32" s="80">
        <f t="shared" si="61"/>
        <v>0</v>
      </c>
      <c r="GL32" s="6"/>
      <c r="GM32" s="4"/>
      <c r="GN32" s="417"/>
      <c r="GO32" s="70"/>
      <c r="GP32" s="43"/>
      <c r="GQ32" s="43"/>
      <c r="GR32" s="43"/>
      <c r="GS32" s="60" t="s">
        <v>149</v>
      </c>
      <c r="GT32" s="60" t="s">
        <v>108</v>
      </c>
      <c r="GU32" s="60" t="s">
        <v>150</v>
      </c>
      <c r="GV32" s="45" t="s">
        <v>28</v>
      </c>
      <c r="GW32" s="65"/>
      <c r="GX32" s="106"/>
      <c r="GY32" s="94"/>
      <c r="GZ32" s="14">
        <f>SUM(GZ24:GZ31)</f>
        <v>240</v>
      </c>
      <c r="HA32" s="416"/>
      <c r="HB32" s="70"/>
      <c r="HC32" s="99" t="s">
        <v>260</v>
      </c>
      <c r="HD32" s="100"/>
      <c r="HE32" s="100"/>
      <c r="HF32" s="65"/>
      <c r="HG32" s="65"/>
      <c r="HH32" s="141">
        <v>32.375</v>
      </c>
      <c r="HI32" s="45" t="s">
        <v>28</v>
      </c>
      <c r="HJ32" s="65">
        <f t="shared" si="57"/>
        <v>0</v>
      </c>
      <c r="HK32" s="80">
        <f t="shared" si="58"/>
        <v>0</v>
      </c>
      <c r="HL32" s="6"/>
      <c r="HM32" s="13">
        <f t="shared" si="59"/>
        <v>0</v>
      </c>
      <c r="HN32" s="417"/>
      <c r="HO32" s="70"/>
      <c r="HP32" s="100"/>
      <c r="HQ32" s="100"/>
      <c r="HR32" s="100"/>
      <c r="HS32" s="65"/>
      <c r="HT32" s="65"/>
      <c r="HU32" s="141"/>
      <c r="HV32" s="45" t="s">
        <v>28</v>
      </c>
      <c r="HW32" s="108">
        <f t="shared" si="10"/>
        <v>0</v>
      </c>
      <c r="HX32" s="107">
        <f t="shared" si="14"/>
        <v>0</v>
      </c>
      <c r="HY32" s="94"/>
      <c r="HZ32" s="4"/>
      <c r="IA32" s="70"/>
      <c r="IB32" s="112" t="s">
        <v>444</v>
      </c>
      <c r="IC32" s="100"/>
      <c r="ID32" s="100"/>
      <c r="IE32" s="65">
        <v>0</v>
      </c>
      <c r="IF32" s="65">
        <v>1</v>
      </c>
      <c r="IG32" s="79">
        <v>15</v>
      </c>
      <c r="IH32" s="45" t="s">
        <v>28</v>
      </c>
      <c r="II32" s="65">
        <f t="shared" si="42"/>
        <v>15</v>
      </c>
      <c r="IJ32" s="106">
        <f t="shared" si="43"/>
        <v>75</v>
      </c>
      <c r="IK32" s="94"/>
      <c r="IL32" s="11">
        <f t="shared" si="44"/>
        <v>0</v>
      </c>
      <c r="IM32" s="13">
        <f t="shared" si="1"/>
        <v>0</v>
      </c>
      <c r="IN32" s="13">
        <f t="shared" si="2"/>
        <v>0</v>
      </c>
      <c r="IO32" s="13">
        <f t="shared" si="62"/>
        <v>115.5</v>
      </c>
      <c r="IP32" s="13">
        <f t="shared" si="4"/>
        <v>0</v>
      </c>
      <c r="IQ32" s="11">
        <f t="shared" si="5"/>
        <v>660</v>
      </c>
      <c r="IR32" s="11">
        <f t="shared" si="6"/>
        <v>20</v>
      </c>
      <c r="IS32" s="4"/>
      <c r="IT32" s="4"/>
      <c r="IU32" s="6" t="s">
        <v>28</v>
      </c>
      <c r="IV32" s="13">
        <f t="shared" si="45"/>
        <v>15</v>
      </c>
    </row>
    <row r="33" spans="1:256" ht="13.5" thickBot="1">
      <c r="A33" s="225"/>
      <c r="B33" s="204"/>
      <c r="C33" s="24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8"/>
      <c r="P33" s="207"/>
      <c r="Q33" s="208"/>
      <c r="R33" s="209"/>
      <c r="S33" s="59"/>
      <c r="T33" s="43"/>
      <c r="U33" s="43"/>
      <c r="V33" s="43"/>
      <c r="W33" s="43"/>
      <c r="X33" s="65"/>
      <c r="Y33" s="65"/>
      <c r="Z33" s="64"/>
      <c r="AA33" s="6"/>
      <c r="AB33" s="59"/>
      <c r="AC33" s="70"/>
      <c r="AD33" s="43"/>
      <c r="AE33" s="44" t="s">
        <v>445</v>
      </c>
      <c r="AF33" s="43"/>
      <c r="AG33" s="43"/>
      <c r="AH33" s="108">
        <f>(IP113)</f>
        <v>2457.7439999999997</v>
      </c>
      <c r="AI33" s="386">
        <f>(HG55)</f>
        <v>0</v>
      </c>
      <c r="AJ33" s="408">
        <f>AH33+AI33</f>
        <v>2457.7439999999997</v>
      </c>
      <c r="AK33" s="389" t="s">
        <v>446</v>
      </c>
      <c r="AL33" s="45"/>
      <c r="AM33" s="43"/>
      <c r="AN33" s="70"/>
      <c r="AO33" s="43"/>
      <c r="AP33" s="43"/>
      <c r="AQ33" s="44" t="s">
        <v>447</v>
      </c>
      <c r="AR33" s="43"/>
      <c r="AS33" s="43"/>
      <c r="AT33" s="43"/>
      <c r="AU33" s="306"/>
      <c r="AV33" s="43"/>
      <c r="AW33" s="94"/>
      <c r="AX33" s="46"/>
      <c r="AY33" s="43"/>
      <c r="AZ33" s="43"/>
      <c r="BA33" s="70"/>
      <c r="BB33" s="99" t="s">
        <v>448</v>
      </c>
      <c r="BC33" s="100"/>
      <c r="BD33" s="100"/>
      <c r="BE33" s="71">
        <v>1</v>
      </c>
      <c r="BF33" s="325">
        <v>1</v>
      </c>
      <c r="BG33" s="79">
        <v>24</v>
      </c>
      <c r="BH33" s="45" t="s">
        <v>28</v>
      </c>
      <c r="BI33" s="65">
        <f t="shared" si="40"/>
        <v>24</v>
      </c>
      <c r="BJ33" s="80">
        <f t="shared" si="36"/>
        <v>120</v>
      </c>
      <c r="BK33" s="45"/>
      <c r="BL33" s="43"/>
      <c r="BM33" s="58"/>
      <c r="BN33" s="70"/>
      <c r="BO33" s="99" t="s">
        <v>326</v>
      </c>
      <c r="BP33" s="100"/>
      <c r="BQ33" s="43"/>
      <c r="BR33" s="71">
        <v>5</v>
      </c>
      <c r="BS33" s="65">
        <f t="shared" si="53"/>
        <v>200</v>
      </c>
      <c r="BT33" s="79">
        <v>0.112</v>
      </c>
      <c r="BU33" s="45" t="s">
        <v>28</v>
      </c>
      <c r="BV33" s="65">
        <f t="shared" si="54"/>
        <v>112</v>
      </c>
      <c r="BW33" s="80">
        <f t="shared" si="55"/>
        <v>560</v>
      </c>
      <c r="BX33" s="6"/>
      <c r="BY33" s="4"/>
      <c r="BZ33" s="4"/>
      <c r="CA33" s="6"/>
      <c r="CB33" s="112" t="s">
        <v>266</v>
      </c>
      <c r="CC33" s="100"/>
      <c r="CD33" s="43"/>
      <c r="CE33" s="71"/>
      <c r="CF33" s="65"/>
      <c r="CG33" s="79">
        <v>36.3</v>
      </c>
      <c r="CH33" s="45" t="s">
        <v>28</v>
      </c>
      <c r="CI33" s="65">
        <f t="shared" si="15"/>
        <v>0</v>
      </c>
      <c r="CJ33" s="80">
        <f t="shared" si="56"/>
        <v>0</v>
      </c>
      <c r="CK33" s="6"/>
      <c r="CL33" s="4"/>
      <c r="CM33" s="4"/>
      <c r="CN33" s="6"/>
      <c r="CO33" s="112" t="s">
        <v>220</v>
      </c>
      <c r="CP33" s="100"/>
      <c r="CQ33" s="100"/>
      <c r="CR33" s="71">
        <v>1</v>
      </c>
      <c r="CS33" s="65"/>
      <c r="CT33" s="79">
        <v>50</v>
      </c>
      <c r="CU33" s="45" t="s">
        <v>28</v>
      </c>
      <c r="CV33" s="65">
        <f t="shared" si="17"/>
        <v>50</v>
      </c>
      <c r="CW33" s="80">
        <f>(CV33/$BF$2)*1000</f>
        <v>250</v>
      </c>
      <c r="CX33" s="6"/>
      <c r="CY33" s="4"/>
      <c r="CZ33" s="11"/>
      <c r="DA33" s="6"/>
      <c r="DB33" s="112" t="s">
        <v>216</v>
      </c>
      <c r="DC33" s="100"/>
      <c r="DD33" s="43"/>
      <c r="DE33" s="71">
        <v>1</v>
      </c>
      <c r="DF33" s="65">
        <f t="shared" si="63"/>
        <v>10</v>
      </c>
      <c r="DG33" s="79">
        <v>1.3</v>
      </c>
      <c r="DH33" s="45" t="s">
        <v>28</v>
      </c>
      <c r="DI33" s="65">
        <f>(DE33*DF33*DG33)</f>
        <v>13</v>
      </c>
      <c r="DJ33" s="80">
        <f t="shared" si="64"/>
        <v>65</v>
      </c>
      <c r="DK33" s="6"/>
      <c r="DL33" s="4"/>
      <c r="DM33" s="4"/>
      <c r="DN33" s="6"/>
      <c r="DO33" s="112" t="s">
        <v>449</v>
      </c>
      <c r="DP33" s="100"/>
      <c r="DQ33" s="43"/>
      <c r="DR33" s="71">
        <v>2</v>
      </c>
      <c r="DS33" s="65">
        <v>4</v>
      </c>
      <c r="DT33" s="79">
        <v>42</v>
      </c>
      <c r="DU33" s="45" t="s">
        <v>28</v>
      </c>
      <c r="DV33" s="65">
        <f t="shared" si="66"/>
        <v>336</v>
      </c>
      <c r="DW33" s="80">
        <f t="shared" si="65"/>
        <v>1680</v>
      </c>
      <c r="DX33" s="45"/>
      <c r="DY33" s="43"/>
      <c r="DZ33" s="4"/>
      <c r="EA33" s="6"/>
      <c r="EB33" s="112" t="s">
        <v>450</v>
      </c>
      <c r="EC33" s="100"/>
      <c r="ED33" s="100"/>
      <c r="EE33" s="71">
        <v>0</v>
      </c>
      <c r="EF33" s="65">
        <v>2</v>
      </c>
      <c r="EG33" s="79">
        <v>180</v>
      </c>
      <c r="EH33" s="45"/>
      <c r="EI33" s="65">
        <f t="shared" si="23"/>
        <v>0</v>
      </c>
      <c r="EJ33" s="106">
        <f t="shared" si="24"/>
        <v>0</v>
      </c>
      <c r="EK33" s="45"/>
      <c r="EL33" s="46"/>
      <c r="EM33" s="43"/>
      <c r="EN33" s="70"/>
      <c r="EO33" s="47" t="s">
        <v>451</v>
      </c>
      <c r="EP33" s="43"/>
      <c r="EQ33" s="43"/>
      <c r="ER33" s="71"/>
      <c r="ES33" s="65"/>
      <c r="ET33" s="79"/>
      <c r="EU33" s="45" t="s">
        <v>28</v>
      </c>
      <c r="EV33" s="65"/>
      <c r="EW33" s="80"/>
      <c r="EX33" s="45"/>
      <c r="EY33" s="43"/>
      <c r="EZ33" s="43"/>
      <c r="FA33" s="58"/>
      <c r="FB33" s="70"/>
      <c r="FC33" s="152" t="s">
        <v>452</v>
      </c>
      <c r="FD33" s="480"/>
      <c r="FE33" s="138"/>
      <c r="FF33" s="71"/>
      <c r="FG33" s="65"/>
      <c r="FH33" s="79"/>
      <c r="FI33" s="45" t="s">
        <v>28</v>
      </c>
      <c r="FJ33" s="65"/>
      <c r="FK33" s="80"/>
      <c r="FL33" s="6"/>
      <c r="FM33" s="4"/>
      <c r="FN33" s="417"/>
      <c r="FO33" s="70"/>
      <c r="FP33" s="99" t="s">
        <v>453</v>
      </c>
      <c r="FQ33" s="100"/>
      <c r="FR33" s="100"/>
      <c r="FS33" s="71">
        <v>1</v>
      </c>
      <c r="FT33" s="65">
        <v>1</v>
      </c>
      <c r="FU33" s="79">
        <v>450</v>
      </c>
      <c r="FV33" s="45" t="s">
        <v>28</v>
      </c>
      <c r="FW33" s="65">
        <f>(FS33*FT33*FU33)</f>
        <v>450</v>
      </c>
      <c r="FX33" s="80">
        <f>(FW33/$BF$2)*1000</f>
        <v>2250</v>
      </c>
      <c r="FY33" s="45"/>
      <c r="FZ33" s="4"/>
      <c r="GA33" s="421"/>
      <c r="GB33" s="70"/>
      <c r="GC33" s="99" t="s">
        <v>454</v>
      </c>
      <c r="GD33" s="100"/>
      <c r="GE33" s="100"/>
      <c r="GF33" s="71"/>
      <c r="GG33" s="65"/>
      <c r="GH33" s="79">
        <v>35</v>
      </c>
      <c r="GI33" s="45" t="s">
        <v>28</v>
      </c>
      <c r="GJ33" s="65">
        <f t="shared" si="60"/>
        <v>0</v>
      </c>
      <c r="GK33" s="80">
        <f t="shared" si="61"/>
        <v>0</v>
      </c>
      <c r="GL33" s="6"/>
      <c r="GM33" s="4"/>
      <c r="GN33" s="417"/>
      <c r="GO33" s="70"/>
      <c r="GP33" s="43"/>
      <c r="GQ33" s="43"/>
      <c r="GR33" s="43"/>
      <c r="GS33" s="71"/>
      <c r="GT33" s="71"/>
      <c r="GU33" s="141"/>
      <c r="GV33" s="45" t="s">
        <v>28</v>
      </c>
      <c r="GW33" s="65">
        <f aca="true" t="shared" si="67" ref="GW33:GW38">(GZ33)+IF(GU33&gt;=0.015,0,GZ33*1.2)+IF($GZ$49&gt;=1000,0,GZ33*1.3)+IF($GS$42=0,0,GZ33*1.2)+IF($GS$43=0,0,GZ33*1.4)+IF($GS$44=0,0,GZ33*1.2)</f>
        <v>0</v>
      </c>
      <c r="GX33" s="106">
        <f aca="true" t="shared" si="68" ref="GX33:GX38">(GW33/$GW$7)*1000*2</f>
        <v>0</v>
      </c>
      <c r="GY33" s="94"/>
      <c r="GZ33" s="13">
        <f aca="true" t="shared" si="69" ref="GZ33:GZ38">(GS33*GT33*GU33*$GW$7*$GW$8)*(4.74)</f>
        <v>0</v>
      </c>
      <c r="HA33" s="416"/>
      <c r="HB33" s="70"/>
      <c r="HC33" s="99" t="s">
        <v>274</v>
      </c>
      <c r="HD33" s="100"/>
      <c r="HE33" s="100"/>
      <c r="HF33" s="65"/>
      <c r="HG33" s="65"/>
      <c r="HH33" s="141">
        <v>41.125</v>
      </c>
      <c r="HI33" s="45" t="s">
        <v>28</v>
      </c>
      <c r="HJ33" s="65">
        <f t="shared" si="57"/>
        <v>0</v>
      </c>
      <c r="HK33" s="80">
        <f t="shared" si="58"/>
        <v>0</v>
      </c>
      <c r="HL33" s="6"/>
      <c r="HM33" s="13">
        <f t="shared" si="59"/>
        <v>0</v>
      </c>
      <c r="HN33" s="417"/>
      <c r="HO33" s="70"/>
      <c r="HP33" s="100"/>
      <c r="HQ33" s="100"/>
      <c r="HR33" s="100"/>
      <c r="HS33" s="65"/>
      <c r="HT33" s="65"/>
      <c r="HU33" s="141"/>
      <c r="HV33" s="45" t="s">
        <v>28</v>
      </c>
      <c r="HW33" s="108">
        <f t="shared" si="10"/>
        <v>0</v>
      </c>
      <c r="HX33" s="107">
        <f t="shared" si="14"/>
        <v>0</v>
      </c>
      <c r="HY33" s="94"/>
      <c r="HZ33" s="4"/>
      <c r="IA33" s="70"/>
      <c r="IB33" s="112" t="s">
        <v>455</v>
      </c>
      <c r="IC33" s="100"/>
      <c r="ID33" s="100"/>
      <c r="IE33" s="65">
        <v>1</v>
      </c>
      <c r="IF33" s="65">
        <v>1</v>
      </c>
      <c r="IG33" s="79">
        <v>200</v>
      </c>
      <c r="IH33" s="45" t="s">
        <v>28</v>
      </c>
      <c r="II33" s="65">
        <f t="shared" si="42"/>
        <v>200</v>
      </c>
      <c r="IJ33" s="106">
        <f t="shared" si="43"/>
        <v>1000</v>
      </c>
      <c r="IK33" s="94"/>
      <c r="IL33" s="11">
        <f t="shared" si="44"/>
        <v>0</v>
      </c>
      <c r="IM33" s="13">
        <f t="shared" si="1"/>
        <v>0</v>
      </c>
      <c r="IN33" s="13">
        <f t="shared" si="2"/>
        <v>0</v>
      </c>
      <c r="IO33" s="13">
        <f t="shared" si="62"/>
        <v>120.12</v>
      </c>
      <c r="IP33" s="13">
        <f t="shared" si="4"/>
        <v>0</v>
      </c>
      <c r="IQ33" s="11">
        <f t="shared" si="5"/>
        <v>800</v>
      </c>
      <c r="IR33" s="11">
        <f t="shared" si="6"/>
        <v>160</v>
      </c>
      <c r="IS33" s="4"/>
      <c r="IT33" s="4"/>
      <c r="IU33" s="6" t="s">
        <v>28</v>
      </c>
      <c r="IV33" s="13">
        <f t="shared" si="45"/>
        <v>200</v>
      </c>
    </row>
    <row r="34" spans="1:256" ht="13.5" thickBot="1">
      <c r="A34" s="225"/>
      <c r="B34" s="204"/>
      <c r="C34" s="245"/>
      <c r="D34" s="74"/>
      <c r="E34" s="74"/>
      <c r="F34" s="74"/>
      <c r="G34" s="205"/>
      <c r="H34" s="74"/>
      <c r="I34" s="280" t="s">
        <v>855</v>
      </c>
      <c r="J34" s="205"/>
      <c r="K34" s="205"/>
      <c r="L34" s="205"/>
      <c r="M34" s="205"/>
      <c r="N34" s="205"/>
      <c r="O34" s="208"/>
      <c r="P34" s="207"/>
      <c r="Q34" s="208"/>
      <c r="R34" s="209"/>
      <c r="S34" s="59"/>
      <c r="T34" s="356" t="s">
        <v>456</v>
      </c>
      <c r="U34" s="357"/>
      <c r="V34" s="358"/>
      <c r="W34" s="43"/>
      <c r="X34" s="37">
        <f>IF(X20&lt;=0,(X16*0.1+X30*0.1),(X16*0.1+X20*0.1))</f>
        <v>0</v>
      </c>
      <c r="Y34" s="359">
        <f>IF(Y20&lt;=0,(Y16*0.1+Y30*0.1),(Y16*0.1+Y20*0.1))</f>
        <v>2025.546</v>
      </c>
      <c r="Z34" s="63">
        <f>IF((X34)=0,0,(Y34-X34)/X34)</f>
        <v>0</v>
      </c>
      <c r="AA34" s="6"/>
      <c r="AB34" s="59"/>
      <c r="AC34" s="70"/>
      <c r="AD34" s="43"/>
      <c r="AE34" s="43"/>
      <c r="AF34" s="43"/>
      <c r="AG34" s="43"/>
      <c r="AH34" s="108"/>
      <c r="AI34" s="386"/>
      <c r="AJ34" s="408"/>
      <c r="AK34" s="266"/>
      <c r="AL34" s="45"/>
      <c r="AM34" s="43"/>
      <c r="AN34" s="70"/>
      <c r="AO34" s="43"/>
      <c r="AP34" s="43"/>
      <c r="AQ34" s="43"/>
      <c r="AR34" s="43"/>
      <c r="AS34" s="43"/>
      <c r="AT34" s="43"/>
      <c r="AU34" s="43"/>
      <c r="AV34" s="43"/>
      <c r="AW34" s="94"/>
      <c r="AX34" s="46"/>
      <c r="AY34" s="43"/>
      <c r="AZ34" s="43"/>
      <c r="BA34" s="70"/>
      <c r="BB34" s="99" t="s">
        <v>457</v>
      </c>
      <c r="BC34" s="100"/>
      <c r="BD34" s="100"/>
      <c r="BE34" s="71">
        <v>1</v>
      </c>
      <c r="BF34" s="65">
        <v>2</v>
      </c>
      <c r="BG34" s="79">
        <v>75</v>
      </c>
      <c r="BH34" s="45" t="s">
        <v>28</v>
      </c>
      <c r="BI34" s="65">
        <f t="shared" si="40"/>
        <v>150</v>
      </c>
      <c r="BJ34" s="80">
        <f t="shared" si="36"/>
        <v>750</v>
      </c>
      <c r="BK34" s="45"/>
      <c r="BL34" s="43"/>
      <c r="BM34" s="58"/>
      <c r="BN34" s="70"/>
      <c r="BO34" s="99" t="s">
        <v>345</v>
      </c>
      <c r="BP34" s="100"/>
      <c r="BQ34" s="43"/>
      <c r="BR34" s="71">
        <v>5</v>
      </c>
      <c r="BS34" s="65">
        <f t="shared" si="53"/>
        <v>200</v>
      </c>
      <c r="BT34" s="79">
        <f>$BT$12</f>
        <v>2.5</v>
      </c>
      <c r="BU34" s="45" t="s">
        <v>28</v>
      </c>
      <c r="BV34" s="65">
        <f>(BR34*(BS34/5)*BT34)+(BR32*BS32/5*BT32)</f>
        <v>503</v>
      </c>
      <c r="BW34" s="80">
        <f t="shared" si="55"/>
        <v>2515</v>
      </c>
      <c r="BX34" s="6"/>
      <c r="BY34" s="11">
        <f>(BR34*BS34/5+BR32*BS32/5)</f>
        <v>220</v>
      </c>
      <c r="BZ34" s="4"/>
      <c r="CA34" s="6"/>
      <c r="CB34" s="112" t="s">
        <v>282</v>
      </c>
      <c r="CC34" s="100"/>
      <c r="CD34" s="43"/>
      <c r="CE34" s="71"/>
      <c r="CF34" s="65"/>
      <c r="CG34" s="79">
        <v>42.35</v>
      </c>
      <c r="CH34" s="45" t="s">
        <v>28</v>
      </c>
      <c r="CI34" s="65">
        <f t="shared" si="15"/>
        <v>0</v>
      </c>
      <c r="CJ34" s="80">
        <f t="shared" si="56"/>
        <v>0</v>
      </c>
      <c r="CK34" s="6"/>
      <c r="CL34" s="4"/>
      <c r="CM34" s="4"/>
      <c r="CN34" s="6"/>
      <c r="CO34" s="112" t="s">
        <v>458</v>
      </c>
      <c r="CP34" s="100"/>
      <c r="CQ34" s="100"/>
      <c r="CR34" s="71">
        <v>1</v>
      </c>
      <c r="CS34" s="65"/>
      <c r="CT34" s="79">
        <v>0.635</v>
      </c>
      <c r="CU34" s="45" t="s">
        <v>28</v>
      </c>
      <c r="CV34" s="65">
        <f t="shared" si="17"/>
        <v>0.635</v>
      </c>
      <c r="CW34" s="80">
        <f>(CV34/$BF$2)*1000</f>
        <v>3.175</v>
      </c>
      <c r="CX34" s="6"/>
      <c r="CY34" s="4"/>
      <c r="CZ34" s="11"/>
      <c r="DA34" s="6"/>
      <c r="DB34" s="112" t="s">
        <v>234</v>
      </c>
      <c r="DC34" s="100"/>
      <c r="DD34" s="43"/>
      <c r="DE34" s="71">
        <v>1</v>
      </c>
      <c r="DF34" s="65">
        <f t="shared" si="63"/>
        <v>10</v>
      </c>
      <c r="DG34" s="79">
        <v>0.225</v>
      </c>
      <c r="DH34" s="45" t="s">
        <v>28</v>
      </c>
      <c r="DI34" s="65">
        <f>(DE34*DF34*DG34)</f>
        <v>2.25</v>
      </c>
      <c r="DJ34" s="80">
        <f t="shared" si="64"/>
        <v>11.25</v>
      </c>
      <c r="DK34" s="6"/>
      <c r="DL34" s="4"/>
      <c r="DM34" s="4"/>
      <c r="DN34" s="6"/>
      <c r="DO34" s="112" t="s">
        <v>234</v>
      </c>
      <c r="DP34" s="100"/>
      <c r="DQ34" s="43"/>
      <c r="DR34" s="341">
        <v>2</v>
      </c>
      <c r="DS34" s="338">
        <f>DQ30</f>
        <v>80</v>
      </c>
      <c r="DT34" s="79">
        <v>1.25</v>
      </c>
      <c r="DU34" s="45" t="s">
        <v>28</v>
      </c>
      <c r="DV34" s="65">
        <f t="shared" si="66"/>
        <v>200</v>
      </c>
      <c r="DW34" s="80">
        <f t="shared" si="65"/>
        <v>1000</v>
      </c>
      <c r="DX34" s="45"/>
      <c r="DY34" s="43"/>
      <c r="DZ34" s="4"/>
      <c r="EA34" s="6"/>
      <c r="EB34" s="112" t="s">
        <v>459</v>
      </c>
      <c r="EC34" s="100"/>
      <c r="ED34" s="100"/>
      <c r="EE34" s="71">
        <v>1</v>
      </c>
      <c r="EF34" s="65">
        <v>2</v>
      </c>
      <c r="EG34" s="79">
        <v>130</v>
      </c>
      <c r="EH34" s="45"/>
      <c r="EI34" s="65">
        <f t="shared" si="23"/>
        <v>260</v>
      </c>
      <c r="EJ34" s="106">
        <f t="shared" si="24"/>
        <v>1300</v>
      </c>
      <c r="EK34" s="45"/>
      <c r="EL34" s="46"/>
      <c r="EM34" s="43"/>
      <c r="EN34" s="70"/>
      <c r="EO34" s="99" t="s">
        <v>460</v>
      </c>
      <c r="EP34" s="100"/>
      <c r="EQ34" s="100" t="s">
        <v>461</v>
      </c>
      <c r="ER34" s="71">
        <v>1</v>
      </c>
      <c r="ES34" s="65">
        <v>2</v>
      </c>
      <c r="ET34" s="79">
        <v>85</v>
      </c>
      <c r="EU34" s="45" t="s">
        <v>28</v>
      </c>
      <c r="EV34" s="65">
        <f aca="true" t="shared" si="70" ref="EV34:EV40">(ER34*ES34*ET34)</f>
        <v>170</v>
      </c>
      <c r="EW34" s="80">
        <f aca="true" t="shared" si="71" ref="EW34:EW40">(EV34/$BF$2)*1000</f>
        <v>850</v>
      </c>
      <c r="EX34" s="45"/>
      <c r="EY34" s="43"/>
      <c r="EZ34" s="43"/>
      <c r="FA34" s="58"/>
      <c r="FB34" s="70"/>
      <c r="FC34" s="99" t="s">
        <v>351</v>
      </c>
      <c r="FD34" s="100"/>
      <c r="FE34" s="100"/>
      <c r="FF34" s="71"/>
      <c r="FG34" s="65"/>
      <c r="FH34" s="79">
        <v>100</v>
      </c>
      <c r="FI34" s="45" t="s">
        <v>28</v>
      </c>
      <c r="FJ34" s="65">
        <f aca="true" t="shared" si="72" ref="FJ34:FJ41">(FF34*FG34*FH34)</f>
        <v>0</v>
      </c>
      <c r="FK34" s="80">
        <f aca="true" t="shared" si="73" ref="FK34:FK41">(FJ34/$BF$2)*1000</f>
        <v>0</v>
      </c>
      <c r="FL34" s="6"/>
      <c r="FM34" s="4"/>
      <c r="FN34" s="417"/>
      <c r="FO34" s="70"/>
      <c r="FP34" s="99" t="s">
        <v>462</v>
      </c>
      <c r="FQ34" s="100"/>
      <c r="FR34" s="100"/>
      <c r="FS34" s="71">
        <v>1</v>
      </c>
      <c r="FT34" s="65">
        <v>1</v>
      </c>
      <c r="FU34" s="79">
        <v>300</v>
      </c>
      <c r="FV34" s="45" t="s">
        <v>28</v>
      </c>
      <c r="FW34" s="65">
        <f>(FS34*FT34*FU34)</f>
        <v>300</v>
      </c>
      <c r="FX34" s="80">
        <f>(FW34/$BF$2)*1000</f>
        <v>1500</v>
      </c>
      <c r="FY34" s="45"/>
      <c r="FZ34" s="4"/>
      <c r="GA34" s="421"/>
      <c r="GB34" s="70"/>
      <c r="GC34" s="99" t="s">
        <v>463</v>
      </c>
      <c r="GD34" s="100"/>
      <c r="GE34" s="100"/>
      <c r="GF34" s="71"/>
      <c r="GG34" s="65"/>
      <c r="GH34" s="79">
        <v>60</v>
      </c>
      <c r="GI34" s="45" t="s">
        <v>28</v>
      </c>
      <c r="GJ34" s="65">
        <f t="shared" si="60"/>
        <v>0</v>
      </c>
      <c r="GK34" s="80">
        <f t="shared" si="61"/>
        <v>0</v>
      </c>
      <c r="GL34" s="6"/>
      <c r="GM34" s="4"/>
      <c r="GN34" s="417"/>
      <c r="GO34" s="70"/>
      <c r="GP34" s="43"/>
      <c r="GQ34" s="43"/>
      <c r="GR34" s="43"/>
      <c r="GS34" s="71"/>
      <c r="GT34" s="71"/>
      <c r="GU34" s="141"/>
      <c r="GV34" s="45" t="s">
        <v>28</v>
      </c>
      <c r="GW34" s="65">
        <f t="shared" si="67"/>
        <v>0</v>
      </c>
      <c r="GX34" s="106">
        <f t="shared" si="68"/>
        <v>0</v>
      </c>
      <c r="GY34" s="94"/>
      <c r="GZ34" s="13">
        <f t="shared" si="69"/>
        <v>0</v>
      </c>
      <c r="HA34" s="416"/>
      <c r="HB34" s="70"/>
      <c r="HC34" s="99" t="s">
        <v>289</v>
      </c>
      <c r="HD34" s="100"/>
      <c r="HE34" s="100"/>
      <c r="HF34" s="65"/>
      <c r="HG34" s="65"/>
      <c r="HH34" s="141">
        <v>49.875</v>
      </c>
      <c r="HI34" s="45" t="s">
        <v>28</v>
      </c>
      <c r="HJ34" s="65">
        <f t="shared" si="57"/>
        <v>0</v>
      </c>
      <c r="HK34" s="80">
        <f t="shared" si="58"/>
        <v>0</v>
      </c>
      <c r="HL34" s="6"/>
      <c r="HM34" s="13">
        <f t="shared" si="59"/>
        <v>0</v>
      </c>
      <c r="HN34" s="417"/>
      <c r="HO34" s="70"/>
      <c r="HP34" s="100"/>
      <c r="HQ34" s="100"/>
      <c r="HR34" s="100"/>
      <c r="HS34" s="65"/>
      <c r="HT34" s="65"/>
      <c r="HU34" s="141"/>
      <c r="HV34" s="45" t="s">
        <v>28</v>
      </c>
      <c r="HW34" s="108">
        <f t="shared" si="10"/>
        <v>0</v>
      </c>
      <c r="HX34" s="107">
        <f t="shared" si="14"/>
        <v>0</v>
      </c>
      <c r="HY34" s="94"/>
      <c r="HZ34" s="4"/>
      <c r="IA34" s="70"/>
      <c r="IB34" s="112" t="s">
        <v>464</v>
      </c>
      <c r="IC34" s="100"/>
      <c r="ID34" s="100"/>
      <c r="IE34" s="65">
        <v>0</v>
      </c>
      <c r="IF34" s="65">
        <v>1</v>
      </c>
      <c r="IG34" s="79">
        <v>250</v>
      </c>
      <c r="IH34" s="45" t="s">
        <v>28</v>
      </c>
      <c r="II34" s="65">
        <f t="shared" si="42"/>
        <v>250</v>
      </c>
      <c r="IJ34" s="106">
        <f t="shared" si="43"/>
        <v>1250</v>
      </c>
      <c r="IK34" s="94"/>
      <c r="IL34" s="11">
        <f t="shared" si="44"/>
        <v>0</v>
      </c>
      <c r="IM34" s="13">
        <f t="shared" si="1"/>
        <v>0</v>
      </c>
      <c r="IN34" s="13">
        <f t="shared" si="2"/>
        <v>0</v>
      </c>
      <c r="IO34" s="13">
        <f t="shared" si="62"/>
        <v>12.705</v>
      </c>
      <c r="IP34" s="13">
        <f t="shared" si="4"/>
        <v>0</v>
      </c>
      <c r="IQ34" s="11">
        <f t="shared" si="5"/>
        <v>450</v>
      </c>
      <c r="IR34" s="11">
        <f t="shared" si="6"/>
        <v>0</v>
      </c>
      <c r="IS34" s="4"/>
      <c r="IT34" s="4"/>
      <c r="IU34" s="6" t="s">
        <v>28</v>
      </c>
      <c r="IV34" s="13">
        <f t="shared" si="45"/>
        <v>250</v>
      </c>
    </row>
    <row r="35" spans="1:256" ht="12.75">
      <c r="A35" s="225"/>
      <c r="B35" s="204"/>
      <c r="C35" s="24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8"/>
      <c r="P35" s="207"/>
      <c r="Q35" s="208"/>
      <c r="R35" s="209"/>
      <c r="S35" s="59"/>
      <c r="T35" s="356" t="s">
        <v>465</v>
      </c>
      <c r="U35" s="357"/>
      <c r="V35" s="358"/>
      <c r="W35" s="43"/>
      <c r="X35" s="65"/>
      <c r="Y35" s="467">
        <f>500*12</f>
        <v>6000</v>
      </c>
      <c r="Z35" s="63">
        <f>IF((X35)=0,0,(Y35-X35)/X35)</f>
        <v>0</v>
      </c>
      <c r="AA35" s="6"/>
      <c r="AB35" s="59"/>
      <c r="AC35" s="70"/>
      <c r="AD35" s="43"/>
      <c r="AE35" s="45" t="s">
        <v>466</v>
      </c>
      <c r="AF35" s="43"/>
      <c r="AG35" s="43"/>
      <c r="AH35" s="108"/>
      <c r="AI35" s="386">
        <f>(HU55)</f>
        <v>755</v>
      </c>
      <c r="AJ35" s="408">
        <f>AH35+AI35</f>
        <v>755</v>
      </c>
      <c r="AK35" s="389" t="s">
        <v>467</v>
      </c>
      <c r="AL35" s="45"/>
      <c r="AM35" s="43"/>
      <c r="AN35" s="70"/>
      <c r="AO35" s="43"/>
      <c r="AP35" s="43"/>
      <c r="AQ35" s="44" t="s">
        <v>468</v>
      </c>
      <c r="AR35" s="43"/>
      <c r="AS35" s="43"/>
      <c r="AT35" s="43"/>
      <c r="AU35" s="308"/>
      <c r="AV35" s="58">
        <v>2000</v>
      </c>
      <c r="AW35" s="94"/>
      <c r="AX35" s="46"/>
      <c r="AY35" s="43"/>
      <c r="AZ35" s="43"/>
      <c r="BA35" s="70"/>
      <c r="BB35" s="99" t="s">
        <v>469</v>
      </c>
      <c r="BC35" s="100"/>
      <c r="BD35" s="100"/>
      <c r="BE35" s="71"/>
      <c r="BF35" s="65"/>
      <c r="BG35" s="79">
        <v>7.15</v>
      </c>
      <c r="BH35" s="45" t="s">
        <v>28</v>
      </c>
      <c r="BI35" s="65">
        <f t="shared" si="40"/>
        <v>0</v>
      </c>
      <c r="BJ35" s="80">
        <f t="shared" si="36"/>
        <v>0</v>
      </c>
      <c r="BK35" s="45"/>
      <c r="BL35" s="43"/>
      <c r="BM35" s="58"/>
      <c r="BN35" s="70"/>
      <c r="BO35" s="43"/>
      <c r="BP35" s="43"/>
      <c r="BQ35" s="43"/>
      <c r="BR35" s="71"/>
      <c r="BS35" s="65"/>
      <c r="BT35" s="79"/>
      <c r="BU35" s="45" t="s">
        <v>28</v>
      </c>
      <c r="BV35" s="65"/>
      <c r="BW35" s="80"/>
      <c r="BX35" s="4"/>
      <c r="BY35" s="4"/>
      <c r="BZ35" s="4"/>
      <c r="CA35" s="6"/>
      <c r="CB35" s="112" t="s">
        <v>295</v>
      </c>
      <c r="CC35" s="100"/>
      <c r="CD35" s="43"/>
      <c r="CE35" s="71"/>
      <c r="CF35" s="65"/>
      <c r="CG35" s="79">
        <v>55.55</v>
      </c>
      <c r="CH35" s="45" t="s">
        <v>28</v>
      </c>
      <c r="CI35" s="65">
        <f t="shared" si="15"/>
        <v>0</v>
      </c>
      <c r="CJ35" s="80">
        <f t="shared" si="56"/>
        <v>0</v>
      </c>
      <c r="CK35" s="6"/>
      <c r="CL35" s="4"/>
      <c r="CM35" s="4"/>
      <c r="CN35" s="6"/>
      <c r="CO35" s="112" t="s">
        <v>470</v>
      </c>
      <c r="CP35" s="100"/>
      <c r="CQ35" s="100"/>
      <c r="CR35" s="71">
        <v>1</v>
      </c>
      <c r="CS35" s="65"/>
      <c r="CT35" s="79">
        <v>14.85</v>
      </c>
      <c r="CU35" s="45" t="s">
        <v>28</v>
      </c>
      <c r="CV35" s="65">
        <f t="shared" si="17"/>
        <v>14.85</v>
      </c>
      <c r="CW35" s="80">
        <f>(CV35/$BF$2)*1000</f>
        <v>74.25</v>
      </c>
      <c r="CX35" s="6"/>
      <c r="CY35" s="4"/>
      <c r="CZ35" s="11"/>
      <c r="DA35" s="6"/>
      <c r="DB35" s="112" t="s">
        <v>253</v>
      </c>
      <c r="DC35" s="100"/>
      <c r="DD35" s="43"/>
      <c r="DE35" s="71">
        <v>4</v>
      </c>
      <c r="DF35" s="65">
        <f t="shared" si="63"/>
        <v>10</v>
      </c>
      <c r="DG35" s="79">
        <v>0.05</v>
      </c>
      <c r="DH35" s="45" t="s">
        <v>28</v>
      </c>
      <c r="DI35" s="65">
        <f>(DE35*DF35*DG35)</f>
        <v>2</v>
      </c>
      <c r="DJ35" s="80">
        <f t="shared" si="64"/>
        <v>10</v>
      </c>
      <c r="DK35" s="6"/>
      <c r="DL35" s="4"/>
      <c r="DM35" s="4"/>
      <c r="DN35" s="6"/>
      <c r="DO35" s="112" t="s">
        <v>471</v>
      </c>
      <c r="DP35" s="100"/>
      <c r="DQ35" s="43"/>
      <c r="DR35" s="227">
        <v>2</v>
      </c>
      <c r="DS35" s="65">
        <v>4</v>
      </c>
      <c r="DT35" s="79">
        <v>14</v>
      </c>
      <c r="DU35" s="45" t="s">
        <v>28</v>
      </c>
      <c r="DV35" s="65">
        <f t="shared" si="66"/>
        <v>112</v>
      </c>
      <c r="DW35" s="80">
        <f t="shared" si="65"/>
        <v>560</v>
      </c>
      <c r="DX35" s="45"/>
      <c r="DY35" s="43"/>
      <c r="DZ35" s="4"/>
      <c r="EA35" s="6"/>
      <c r="EB35" s="112" t="s">
        <v>472</v>
      </c>
      <c r="EC35" s="100"/>
      <c r="ED35" s="100"/>
      <c r="EE35" s="71">
        <v>1</v>
      </c>
      <c r="EF35" s="65">
        <v>2</v>
      </c>
      <c r="EG35" s="79">
        <v>130</v>
      </c>
      <c r="EH35" s="45"/>
      <c r="EI35" s="65">
        <f t="shared" si="23"/>
        <v>260</v>
      </c>
      <c r="EJ35" s="106">
        <f t="shared" si="24"/>
        <v>1300</v>
      </c>
      <c r="EK35" s="45"/>
      <c r="EL35" s="46"/>
      <c r="EM35" s="43"/>
      <c r="EN35" s="70"/>
      <c r="EO35" s="99" t="s">
        <v>473</v>
      </c>
      <c r="EP35" s="100"/>
      <c r="EQ35" s="100" t="s">
        <v>474</v>
      </c>
      <c r="ER35" s="71">
        <v>1</v>
      </c>
      <c r="ES35" s="65">
        <v>2</v>
      </c>
      <c r="ET35" s="79">
        <v>106</v>
      </c>
      <c r="EU35" s="45" t="s">
        <v>28</v>
      </c>
      <c r="EV35" s="65">
        <f t="shared" si="70"/>
        <v>212</v>
      </c>
      <c r="EW35" s="80">
        <f t="shared" si="71"/>
        <v>1060</v>
      </c>
      <c r="EX35" s="45"/>
      <c r="EY35" s="43"/>
      <c r="EZ35" s="43"/>
      <c r="FA35" s="58"/>
      <c r="FB35" s="70"/>
      <c r="FC35" s="99" t="s">
        <v>364</v>
      </c>
      <c r="FD35" s="100"/>
      <c r="FE35" s="100"/>
      <c r="FF35" s="71">
        <v>1</v>
      </c>
      <c r="FG35" s="65">
        <v>2</v>
      </c>
      <c r="FH35" s="79">
        <v>130</v>
      </c>
      <c r="FI35" s="45" t="s">
        <v>28</v>
      </c>
      <c r="FJ35" s="65">
        <f t="shared" si="72"/>
        <v>260</v>
      </c>
      <c r="FK35" s="80">
        <f t="shared" si="73"/>
        <v>1300</v>
      </c>
      <c r="FL35" s="6"/>
      <c r="FM35" s="4"/>
      <c r="FN35" s="417"/>
      <c r="FO35" s="70"/>
      <c r="FP35" s="99" t="s">
        <v>475</v>
      </c>
      <c r="FQ35" s="100"/>
      <c r="FR35" s="100"/>
      <c r="FS35" s="71"/>
      <c r="FT35" s="65"/>
      <c r="FU35" s="79">
        <v>260</v>
      </c>
      <c r="FV35" s="45" t="s">
        <v>28</v>
      </c>
      <c r="FW35" s="65">
        <f>(FS35*FT35*FU35)</f>
        <v>0</v>
      </c>
      <c r="FX35" s="80">
        <f>(FW35/$BF$2)*1000</f>
        <v>0</v>
      </c>
      <c r="FY35" s="45"/>
      <c r="FZ35" s="4"/>
      <c r="GA35" s="421"/>
      <c r="GB35" s="70"/>
      <c r="GC35" s="99" t="s">
        <v>287</v>
      </c>
      <c r="GD35" s="100"/>
      <c r="GE35" s="100"/>
      <c r="GF35" s="71">
        <v>0</v>
      </c>
      <c r="GG35" s="65">
        <v>1</v>
      </c>
      <c r="GH35" s="79">
        <v>40</v>
      </c>
      <c r="GI35" s="45" t="s">
        <v>28</v>
      </c>
      <c r="GJ35" s="65">
        <f t="shared" si="60"/>
        <v>0</v>
      </c>
      <c r="GK35" s="80">
        <f t="shared" si="61"/>
        <v>0</v>
      </c>
      <c r="GL35" s="6"/>
      <c r="GM35" s="4"/>
      <c r="GN35" s="417"/>
      <c r="GO35" s="70"/>
      <c r="GP35" s="43"/>
      <c r="GQ35" s="43"/>
      <c r="GR35" s="43"/>
      <c r="GS35" s="71"/>
      <c r="GT35" s="71"/>
      <c r="GU35" s="141"/>
      <c r="GV35" s="45" t="s">
        <v>28</v>
      </c>
      <c r="GW35" s="65">
        <f t="shared" si="67"/>
        <v>0</v>
      </c>
      <c r="GX35" s="106">
        <f t="shared" si="68"/>
        <v>0</v>
      </c>
      <c r="GY35" s="94"/>
      <c r="GZ35" s="13">
        <f t="shared" si="69"/>
        <v>0</v>
      </c>
      <c r="HA35" s="416"/>
      <c r="HB35" s="70"/>
      <c r="HC35" s="99" t="s">
        <v>305</v>
      </c>
      <c r="HD35" s="100"/>
      <c r="HE35" s="100"/>
      <c r="HF35" s="65"/>
      <c r="HG35" s="65"/>
      <c r="HH35" s="141">
        <v>57.75</v>
      </c>
      <c r="HI35" s="45" t="s">
        <v>28</v>
      </c>
      <c r="HJ35" s="65">
        <f t="shared" si="57"/>
        <v>0</v>
      </c>
      <c r="HK35" s="80">
        <f t="shared" si="58"/>
        <v>0</v>
      </c>
      <c r="HL35" s="6"/>
      <c r="HM35" s="13">
        <f t="shared" si="59"/>
        <v>0</v>
      </c>
      <c r="HN35" s="417"/>
      <c r="HO35" s="70"/>
      <c r="HP35" s="100"/>
      <c r="HQ35" s="100"/>
      <c r="HR35" s="100"/>
      <c r="HS35" s="65"/>
      <c r="HT35" s="65"/>
      <c r="HU35" s="141"/>
      <c r="HV35" s="45" t="s">
        <v>28</v>
      </c>
      <c r="HW35" s="108">
        <f t="shared" si="10"/>
        <v>0</v>
      </c>
      <c r="HX35" s="107">
        <f t="shared" si="14"/>
        <v>0</v>
      </c>
      <c r="HY35" s="94"/>
      <c r="HZ35" s="4"/>
      <c r="IA35" s="70"/>
      <c r="IB35" s="112" t="s">
        <v>476</v>
      </c>
      <c r="IC35" s="100"/>
      <c r="ID35" s="100"/>
      <c r="IE35" s="65">
        <v>0</v>
      </c>
      <c r="IF35" s="65">
        <v>1</v>
      </c>
      <c r="IG35" s="79">
        <v>250</v>
      </c>
      <c r="IH35" s="45" t="s">
        <v>28</v>
      </c>
      <c r="II35" s="65">
        <f t="shared" si="42"/>
        <v>250</v>
      </c>
      <c r="IJ35" s="106">
        <f t="shared" si="43"/>
        <v>1250</v>
      </c>
      <c r="IK35" s="94"/>
      <c r="IL35" s="11">
        <f t="shared" si="44"/>
        <v>0</v>
      </c>
      <c r="IM35" s="13">
        <f t="shared" si="1"/>
        <v>0</v>
      </c>
      <c r="IN35" s="13">
        <f t="shared" si="2"/>
        <v>0</v>
      </c>
      <c r="IO35" s="13">
        <f t="shared" si="62"/>
        <v>94.71</v>
      </c>
      <c r="IP35" s="13">
        <f t="shared" si="4"/>
        <v>0</v>
      </c>
      <c r="IQ35" s="11">
        <f t="shared" si="5"/>
        <v>1800</v>
      </c>
      <c r="IR35" s="11">
        <f t="shared" si="6"/>
        <v>0</v>
      </c>
      <c r="IS35" s="4"/>
      <c r="IT35" s="4"/>
      <c r="IU35" s="6" t="s">
        <v>28</v>
      </c>
      <c r="IV35" s="13">
        <f t="shared" si="45"/>
        <v>250</v>
      </c>
    </row>
    <row r="36" spans="1:256" ht="13.5" thickBot="1">
      <c r="A36" s="225"/>
      <c r="B36" s="204"/>
      <c r="C36" s="24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8"/>
      <c r="P36" s="207"/>
      <c r="Q36" s="208"/>
      <c r="R36" s="209"/>
      <c r="S36" s="59"/>
      <c r="T36" s="43"/>
      <c r="U36" s="43"/>
      <c r="V36" s="43"/>
      <c r="W36" s="43"/>
      <c r="X36" s="65"/>
      <c r="Y36" s="65"/>
      <c r="Z36" s="64"/>
      <c r="AA36" s="6"/>
      <c r="AB36" s="59"/>
      <c r="AC36" s="70"/>
      <c r="AD36" s="43"/>
      <c r="AE36" s="43"/>
      <c r="AF36" s="43"/>
      <c r="AG36" s="43"/>
      <c r="AH36" s="108"/>
      <c r="AI36" s="386"/>
      <c r="AJ36" s="408"/>
      <c r="AK36" s="266"/>
      <c r="AL36" s="45"/>
      <c r="AM36" s="43"/>
      <c r="AN36" s="70"/>
      <c r="AO36" s="43"/>
      <c r="AP36" s="43"/>
      <c r="AQ36" s="43"/>
      <c r="AR36" s="43"/>
      <c r="AS36" s="43"/>
      <c r="AT36" s="43"/>
      <c r="AU36" s="43"/>
      <c r="AV36" s="43"/>
      <c r="AW36" s="94"/>
      <c r="AX36" s="46"/>
      <c r="AY36" s="43"/>
      <c r="AZ36" s="43"/>
      <c r="BA36" s="70"/>
      <c r="BB36" s="99" t="s">
        <v>477</v>
      </c>
      <c r="BC36" s="100"/>
      <c r="BD36" s="100"/>
      <c r="BE36" s="71">
        <v>1</v>
      </c>
      <c r="BF36" s="65">
        <v>15</v>
      </c>
      <c r="BG36" s="79">
        <v>100</v>
      </c>
      <c r="BH36" s="45" t="s">
        <v>28</v>
      </c>
      <c r="BI36" s="65">
        <f t="shared" si="40"/>
        <v>1500</v>
      </c>
      <c r="BJ36" s="80">
        <f t="shared" si="36"/>
        <v>7500</v>
      </c>
      <c r="BK36" s="45"/>
      <c r="BL36" s="43"/>
      <c r="BM36" s="58"/>
      <c r="BN36" s="70"/>
      <c r="BO36" s="47" t="s">
        <v>478</v>
      </c>
      <c r="BP36" s="43"/>
      <c r="BQ36" s="317">
        <f>($BV$9)</f>
        <v>0</v>
      </c>
      <c r="BR36" s="71"/>
      <c r="BS36" s="105" t="s">
        <v>72</v>
      </c>
      <c r="BT36" s="79"/>
      <c r="BU36" s="45" t="s">
        <v>28</v>
      </c>
      <c r="BV36" s="65"/>
      <c r="BW36" s="80"/>
      <c r="BX36" s="4"/>
      <c r="BY36" s="4"/>
      <c r="BZ36" s="4"/>
      <c r="CA36" s="6"/>
      <c r="CB36" s="112" t="s">
        <v>314</v>
      </c>
      <c r="CC36" s="100"/>
      <c r="CD36" s="65"/>
      <c r="CE36" s="71"/>
      <c r="CF36" s="65"/>
      <c r="CG36" s="79">
        <v>69.3</v>
      </c>
      <c r="CH36" s="45" t="s">
        <v>28</v>
      </c>
      <c r="CI36" s="65">
        <f t="shared" si="15"/>
        <v>0</v>
      </c>
      <c r="CJ36" s="80">
        <f t="shared" si="56"/>
        <v>0</v>
      </c>
      <c r="CK36" s="6"/>
      <c r="CL36" s="4"/>
      <c r="CM36" s="4"/>
      <c r="CN36" s="6"/>
      <c r="CO36" s="59"/>
      <c r="CP36" s="43"/>
      <c r="CQ36" s="65"/>
      <c r="CR36" s="71"/>
      <c r="CS36" s="65"/>
      <c r="CT36" s="79"/>
      <c r="CU36" s="45" t="s">
        <v>28</v>
      </c>
      <c r="CV36" s="65">
        <f t="shared" si="17"/>
        <v>0</v>
      </c>
      <c r="CW36" s="80"/>
      <c r="CX36" s="6"/>
      <c r="CY36" s="4"/>
      <c r="CZ36" s="11"/>
      <c r="DA36" s="6"/>
      <c r="DB36" s="112" t="s">
        <v>267</v>
      </c>
      <c r="DC36" s="100"/>
      <c r="DD36" s="43"/>
      <c r="DE36" s="71">
        <v>4</v>
      </c>
      <c r="DF36" s="65">
        <f t="shared" si="63"/>
        <v>10</v>
      </c>
      <c r="DG36" s="79">
        <f>$DJ$8</f>
        <v>2</v>
      </c>
      <c r="DH36" s="45" t="s">
        <v>28</v>
      </c>
      <c r="DI36" s="65">
        <f>(DE36*(DF36/5)*DG36)</f>
        <v>16</v>
      </c>
      <c r="DJ36" s="80">
        <f t="shared" si="64"/>
        <v>80</v>
      </c>
      <c r="DK36" s="6"/>
      <c r="DL36" s="11">
        <f>(DE36*DF36/5)</f>
        <v>8</v>
      </c>
      <c r="DM36" s="4"/>
      <c r="DN36" s="6"/>
      <c r="DO36" s="112" t="s">
        <v>479</v>
      </c>
      <c r="DP36" s="100"/>
      <c r="DQ36" s="43"/>
      <c r="DR36" s="71">
        <v>8</v>
      </c>
      <c r="DS36" s="65">
        <v>1</v>
      </c>
      <c r="DT36" s="79">
        <v>50</v>
      </c>
      <c r="DU36" s="45" t="s">
        <v>28</v>
      </c>
      <c r="DV36" s="65">
        <f t="shared" si="66"/>
        <v>400</v>
      </c>
      <c r="DW36" s="80">
        <f t="shared" si="65"/>
        <v>2000</v>
      </c>
      <c r="DX36" s="45"/>
      <c r="DY36" s="43"/>
      <c r="DZ36" s="4"/>
      <c r="EA36" s="6"/>
      <c r="EB36" s="112" t="s">
        <v>480</v>
      </c>
      <c r="EC36" s="100"/>
      <c r="ED36" s="100"/>
      <c r="EE36" s="71">
        <v>1</v>
      </c>
      <c r="EF36" s="65">
        <v>2</v>
      </c>
      <c r="EG36" s="79">
        <v>60</v>
      </c>
      <c r="EH36" s="45"/>
      <c r="EI36" s="65">
        <f t="shared" si="23"/>
        <v>120</v>
      </c>
      <c r="EJ36" s="106">
        <f t="shared" si="24"/>
        <v>600</v>
      </c>
      <c r="EK36" s="45"/>
      <c r="EL36" s="46"/>
      <c r="EM36" s="43"/>
      <c r="EN36" s="70"/>
      <c r="EO36" s="99" t="s">
        <v>481</v>
      </c>
      <c r="EP36" s="100"/>
      <c r="EQ36" s="100" t="s">
        <v>482</v>
      </c>
      <c r="ER36" s="71">
        <v>1</v>
      </c>
      <c r="ES36" s="65">
        <v>2</v>
      </c>
      <c r="ET36" s="79">
        <v>130</v>
      </c>
      <c r="EU36" s="45" t="s">
        <v>28</v>
      </c>
      <c r="EV36" s="65">
        <f t="shared" si="70"/>
        <v>260</v>
      </c>
      <c r="EW36" s="80">
        <f t="shared" si="71"/>
        <v>1300</v>
      </c>
      <c r="EX36" s="45"/>
      <c r="EY36" s="43"/>
      <c r="EZ36" s="43"/>
      <c r="FA36" s="58"/>
      <c r="FB36" s="70"/>
      <c r="FC36" s="99" t="s">
        <v>382</v>
      </c>
      <c r="FD36" s="100"/>
      <c r="FE36" s="100"/>
      <c r="FF36" s="71"/>
      <c r="FG36" s="65"/>
      <c r="FH36" s="79">
        <v>165</v>
      </c>
      <c r="FI36" s="45" t="s">
        <v>28</v>
      </c>
      <c r="FJ36" s="65">
        <f t="shared" si="72"/>
        <v>0</v>
      </c>
      <c r="FK36" s="80">
        <f t="shared" si="73"/>
        <v>0</v>
      </c>
      <c r="FL36" s="6"/>
      <c r="FM36" s="4"/>
      <c r="FN36" s="416"/>
      <c r="FO36" s="70"/>
      <c r="FP36" s="47" t="s">
        <v>483</v>
      </c>
      <c r="FQ36" s="43"/>
      <c r="FR36" s="43"/>
      <c r="FS36" s="43"/>
      <c r="FT36" s="65"/>
      <c r="FU36" s="79"/>
      <c r="FV36" s="45" t="s">
        <v>28</v>
      </c>
      <c r="FW36" s="65"/>
      <c r="FX36" s="80"/>
      <c r="FY36" s="45"/>
      <c r="FZ36" s="4"/>
      <c r="GA36" s="421"/>
      <c r="GB36" s="70"/>
      <c r="GC36" s="99" t="s">
        <v>484</v>
      </c>
      <c r="GD36" s="100"/>
      <c r="GE36" s="100"/>
      <c r="GF36" s="71">
        <v>0</v>
      </c>
      <c r="GG36" s="65">
        <v>1</v>
      </c>
      <c r="GH36" s="79">
        <v>35</v>
      </c>
      <c r="GI36" s="45" t="s">
        <v>28</v>
      </c>
      <c r="GJ36" s="65">
        <f t="shared" si="60"/>
        <v>0</v>
      </c>
      <c r="GK36" s="80">
        <f t="shared" si="61"/>
        <v>0</v>
      </c>
      <c r="GL36" s="6"/>
      <c r="GM36" s="4"/>
      <c r="GN36" s="417"/>
      <c r="GO36" s="70"/>
      <c r="GP36" s="43"/>
      <c r="GQ36" s="43"/>
      <c r="GR36" s="43"/>
      <c r="GS36" s="71"/>
      <c r="GT36" s="71"/>
      <c r="GU36" s="141"/>
      <c r="GV36" s="45" t="s">
        <v>28</v>
      </c>
      <c r="GW36" s="65">
        <f t="shared" si="67"/>
        <v>0</v>
      </c>
      <c r="GX36" s="106">
        <f t="shared" si="68"/>
        <v>0</v>
      </c>
      <c r="GY36" s="94"/>
      <c r="GZ36" s="13">
        <f t="shared" si="69"/>
        <v>0</v>
      </c>
      <c r="HA36" s="416"/>
      <c r="HB36" s="70"/>
      <c r="HC36" s="99" t="s">
        <v>321</v>
      </c>
      <c r="HD36" s="100"/>
      <c r="HE36" s="100"/>
      <c r="HF36" s="65"/>
      <c r="HG36" s="65"/>
      <c r="HH36" s="141">
        <v>65.625</v>
      </c>
      <c r="HI36" s="45" t="s">
        <v>28</v>
      </c>
      <c r="HJ36" s="65">
        <f t="shared" si="57"/>
        <v>0</v>
      </c>
      <c r="HK36" s="80">
        <f t="shared" si="58"/>
        <v>0</v>
      </c>
      <c r="HL36" s="6"/>
      <c r="HM36" s="13">
        <f t="shared" si="59"/>
        <v>0</v>
      </c>
      <c r="HN36" s="417"/>
      <c r="HO36" s="70"/>
      <c r="HP36" s="100"/>
      <c r="HQ36" s="100"/>
      <c r="HR36" s="100"/>
      <c r="HS36" s="65"/>
      <c r="HT36" s="65"/>
      <c r="HU36" s="141"/>
      <c r="HV36" s="45" t="s">
        <v>28</v>
      </c>
      <c r="HW36" s="108">
        <f t="shared" si="10"/>
        <v>0</v>
      </c>
      <c r="HX36" s="107">
        <f t="shared" si="14"/>
        <v>0</v>
      </c>
      <c r="HY36" s="94"/>
      <c r="HZ36" s="4"/>
      <c r="IA36" s="70"/>
      <c r="IB36" s="59"/>
      <c r="IC36" s="43"/>
      <c r="ID36" s="43"/>
      <c r="IE36" s="43"/>
      <c r="IF36" s="65"/>
      <c r="IG36" s="174" t="s">
        <v>485</v>
      </c>
      <c r="IH36" s="45" t="s">
        <v>28</v>
      </c>
      <c r="II36" s="108">
        <f>SUM(II22:II35)</f>
        <v>2600</v>
      </c>
      <c r="IJ36" s="107">
        <f>SUM(IJ22:IJ35)</f>
        <v>13000</v>
      </c>
      <c r="IK36" s="94"/>
      <c r="IL36" s="11">
        <f t="shared" si="44"/>
        <v>240</v>
      </c>
      <c r="IM36" s="13">
        <f t="shared" si="1"/>
        <v>0</v>
      </c>
      <c r="IN36" s="13">
        <f t="shared" si="2"/>
        <v>0</v>
      </c>
      <c r="IO36" s="13">
        <f t="shared" si="62"/>
        <v>387.541</v>
      </c>
      <c r="IP36" s="13">
        <f t="shared" si="4"/>
        <v>0</v>
      </c>
      <c r="IQ36" s="11">
        <f t="shared" si="5"/>
        <v>100</v>
      </c>
      <c r="IR36" s="11">
        <f t="shared" si="6"/>
        <v>135</v>
      </c>
      <c r="IS36" s="4"/>
      <c r="IT36" s="4"/>
      <c r="IU36" s="6" t="s">
        <v>28</v>
      </c>
      <c r="IV36" s="13"/>
    </row>
    <row r="37" spans="1:256" ht="13.5" thickBot="1">
      <c r="A37" s="225"/>
      <c r="B37" s="204"/>
      <c r="C37" s="245"/>
      <c r="D37" s="74"/>
      <c r="E37" s="74"/>
      <c r="F37" s="74"/>
      <c r="G37" s="281" t="s">
        <v>486</v>
      </c>
      <c r="H37" s="282"/>
      <c r="I37" s="282"/>
      <c r="J37" s="304"/>
      <c r="K37" s="282"/>
      <c r="L37" s="276"/>
      <c r="M37" s="276"/>
      <c r="N37" s="74"/>
      <c r="O37" s="208"/>
      <c r="P37" s="207"/>
      <c r="Q37" s="208"/>
      <c r="R37" s="209"/>
      <c r="S37" s="59"/>
      <c r="T37" s="356" t="s">
        <v>487</v>
      </c>
      <c r="U37" s="357"/>
      <c r="V37" s="358"/>
      <c r="W37" s="43"/>
      <c r="X37" s="62">
        <f>SUM(X38:X42)</f>
        <v>0</v>
      </c>
      <c r="Y37" s="359">
        <f>SUM(Y38:Y42)</f>
        <v>7525.8060000000005</v>
      </c>
      <c r="Z37" s="63">
        <f aca="true" t="shared" si="74" ref="Z37:Z42">IF((X37)=0,0,(Y37-X37)/X37)</f>
        <v>0</v>
      </c>
      <c r="AA37" s="6"/>
      <c r="AB37" s="59"/>
      <c r="AC37" s="70"/>
      <c r="AD37" s="43"/>
      <c r="AE37" s="45" t="s">
        <v>488</v>
      </c>
      <c r="AF37" s="43"/>
      <c r="AG37" s="43"/>
      <c r="AH37" s="108">
        <f>(IF55)</f>
        <v>0</v>
      </c>
      <c r="AI37" s="386">
        <f>(HT55)</f>
        <v>4065</v>
      </c>
      <c r="AJ37" s="408">
        <f>AH37+AI37</f>
        <v>4065</v>
      </c>
      <c r="AK37" s="390" t="s">
        <v>467</v>
      </c>
      <c r="AL37" s="45"/>
      <c r="AM37" s="43"/>
      <c r="AN37" s="70"/>
      <c r="AO37" s="43"/>
      <c r="AP37" s="43"/>
      <c r="AQ37" s="44" t="s">
        <v>489</v>
      </c>
      <c r="AR37" s="43"/>
      <c r="AS37" s="43"/>
      <c r="AT37" s="167" t="s">
        <v>490</v>
      </c>
      <c r="AU37" s="309">
        <f>2*635</f>
        <v>1270</v>
      </c>
      <c r="AV37" s="60" t="s">
        <v>491</v>
      </c>
      <c r="AW37" s="94"/>
      <c r="AX37" s="46"/>
      <c r="AY37" s="43"/>
      <c r="AZ37" s="43"/>
      <c r="BA37" s="70"/>
      <c r="BB37" s="99" t="s">
        <v>492</v>
      </c>
      <c r="BC37" s="100"/>
      <c r="BD37" s="100"/>
      <c r="BE37" s="71"/>
      <c r="BF37" s="65"/>
      <c r="BG37" s="79">
        <v>24.15</v>
      </c>
      <c r="BH37" s="45" t="s">
        <v>28</v>
      </c>
      <c r="BI37" s="65">
        <f t="shared" si="40"/>
        <v>0</v>
      </c>
      <c r="BJ37" s="80">
        <f t="shared" si="36"/>
        <v>0</v>
      </c>
      <c r="BK37" s="45"/>
      <c r="BL37" s="43"/>
      <c r="BM37" s="58"/>
      <c r="BN37" s="70"/>
      <c r="BO37" s="99" t="s">
        <v>250</v>
      </c>
      <c r="BP37" s="100"/>
      <c r="BQ37" s="43"/>
      <c r="BR37" s="71">
        <v>1</v>
      </c>
      <c r="BS37" s="65">
        <f aca="true" t="shared" si="75" ref="BS37:BS43">($BV$9)</f>
        <v>0</v>
      </c>
      <c r="BT37" s="79">
        <v>0.077</v>
      </c>
      <c r="BU37" s="45" t="s">
        <v>28</v>
      </c>
      <c r="BV37" s="65">
        <f aca="true" t="shared" si="76" ref="BV37:BV42">(BR37*BS37*BT37)</f>
        <v>0</v>
      </c>
      <c r="BW37" s="80">
        <f aca="true" t="shared" si="77" ref="BW37:BW43">(BV37/$BF$2)*1000</f>
        <v>0</v>
      </c>
      <c r="BX37" s="6"/>
      <c r="BY37" s="4"/>
      <c r="BZ37" s="4"/>
      <c r="CA37" s="6"/>
      <c r="CB37" s="112" t="s">
        <v>327</v>
      </c>
      <c r="CC37" s="100"/>
      <c r="CD37" s="43"/>
      <c r="CE37" s="71"/>
      <c r="CF37" s="65"/>
      <c r="CG37" s="79">
        <v>86.24</v>
      </c>
      <c r="CH37" s="45" t="s">
        <v>28</v>
      </c>
      <c r="CI37" s="65">
        <f t="shared" si="15"/>
        <v>0</v>
      </c>
      <c r="CJ37" s="80">
        <f t="shared" si="56"/>
        <v>0</v>
      </c>
      <c r="CK37" s="6"/>
      <c r="CL37" s="4"/>
      <c r="CM37" s="11"/>
      <c r="CN37" s="6"/>
      <c r="CO37" s="38" t="s">
        <v>493</v>
      </c>
      <c r="CP37" s="43"/>
      <c r="CQ37" s="43"/>
      <c r="CR37" s="71"/>
      <c r="CS37" s="65"/>
      <c r="CT37" s="79"/>
      <c r="CU37" s="45" t="s">
        <v>28</v>
      </c>
      <c r="CV37" s="65">
        <f t="shared" si="17"/>
        <v>0</v>
      </c>
      <c r="CW37" s="80"/>
      <c r="CX37" s="6"/>
      <c r="CY37" s="4"/>
      <c r="CZ37" s="11"/>
      <c r="DA37" s="6"/>
      <c r="DB37" s="59"/>
      <c r="DC37" s="43"/>
      <c r="DD37" s="43"/>
      <c r="DE37" s="71"/>
      <c r="DF37" s="65"/>
      <c r="DG37" s="79"/>
      <c r="DH37" s="45" t="s">
        <v>28</v>
      </c>
      <c r="DI37" s="65"/>
      <c r="DJ37" s="80"/>
      <c r="DK37" s="6"/>
      <c r="DL37" s="4"/>
      <c r="DM37" s="4"/>
      <c r="DN37" s="6"/>
      <c r="DO37" s="112" t="s">
        <v>253</v>
      </c>
      <c r="DP37" s="100"/>
      <c r="DQ37" s="43"/>
      <c r="DR37" s="71">
        <v>0</v>
      </c>
      <c r="DS37" s="342">
        <f>$DS$7</f>
        <v>80</v>
      </c>
      <c r="DT37" s="79">
        <v>0.065</v>
      </c>
      <c r="DU37" s="45" t="s">
        <v>28</v>
      </c>
      <c r="DV37" s="65">
        <f t="shared" si="66"/>
        <v>0</v>
      </c>
      <c r="DW37" s="80">
        <f t="shared" si="65"/>
        <v>0</v>
      </c>
      <c r="DX37" s="45"/>
      <c r="DY37" s="58">
        <f>(DR37*DS37/5)</f>
        <v>0</v>
      </c>
      <c r="DZ37" s="4"/>
      <c r="EA37" s="6"/>
      <c r="EB37" s="112" t="s">
        <v>494</v>
      </c>
      <c r="EC37" s="100"/>
      <c r="ED37" s="100"/>
      <c r="EE37" s="71">
        <v>1</v>
      </c>
      <c r="EF37" s="65">
        <v>2</v>
      </c>
      <c r="EG37" s="79">
        <v>30</v>
      </c>
      <c r="EH37" s="45"/>
      <c r="EI37" s="65">
        <f t="shared" si="23"/>
        <v>60</v>
      </c>
      <c r="EJ37" s="106">
        <f t="shared" si="24"/>
        <v>300</v>
      </c>
      <c r="EK37" s="45"/>
      <c r="EL37" s="46"/>
      <c r="EM37" s="43"/>
      <c r="EN37" s="70"/>
      <c r="EO37" s="99" t="s">
        <v>495</v>
      </c>
      <c r="EP37" s="100"/>
      <c r="EQ37" s="100"/>
      <c r="ER37" s="71">
        <v>0</v>
      </c>
      <c r="ES37" s="65">
        <v>2</v>
      </c>
      <c r="ET37" s="79">
        <v>153</v>
      </c>
      <c r="EU37" s="45" t="s">
        <v>28</v>
      </c>
      <c r="EV37" s="65">
        <f t="shared" si="70"/>
        <v>0</v>
      </c>
      <c r="EW37" s="80">
        <f t="shared" si="71"/>
        <v>0</v>
      </c>
      <c r="EX37" s="45"/>
      <c r="EY37" s="43"/>
      <c r="EZ37" s="43"/>
      <c r="FA37" s="58"/>
      <c r="FB37" s="70"/>
      <c r="FC37" s="99" t="s">
        <v>394</v>
      </c>
      <c r="FD37" s="100"/>
      <c r="FE37" s="100"/>
      <c r="FF37" s="71"/>
      <c r="FG37" s="65"/>
      <c r="FH37" s="79">
        <v>195</v>
      </c>
      <c r="FI37" s="45" t="s">
        <v>28</v>
      </c>
      <c r="FJ37" s="65">
        <f t="shared" si="72"/>
        <v>0</v>
      </c>
      <c r="FK37" s="80">
        <f t="shared" si="73"/>
        <v>0</v>
      </c>
      <c r="FL37" s="6"/>
      <c r="FM37" s="4"/>
      <c r="FN37" s="417"/>
      <c r="FO37" s="70"/>
      <c r="FP37" s="99" t="s">
        <v>496</v>
      </c>
      <c r="FQ37" s="100"/>
      <c r="FR37" s="100"/>
      <c r="FS37" s="71">
        <v>0</v>
      </c>
      <c r="FT37" s="65">
        <v>1</v>
      </c>
      <c r="FU37" s="79">
        <v>280</v>
      </c>
      <c r="FV37" s="45" t="s">
        <v>28</v>
      </c>
      <c r="FW37" s="65">
        <f>(FS37*FT37*FU37)*(1.25)</f>
        <v>0</v>
      </c>
      <c r="FX37" s="80">
        <f>(FW37/$BF$2)*1000</f>
        <v>0</v>
      </c>
      <c r="FY37" s="45"/>
      <c r="FZ37" s="4"/>
      <c r="GA37" s="421"/>
      <c r="GB37" s="70"/>
      <c r="GC37" s="99" t="s">
        <v>497</v>
      </c>
      <c r="GD37" s="100"/>
      <c r="GE37" s="100"/>
      <c r="GF37" s="71">
        <v>1</v>
      </c>
      <c r="GG37" s="65">
        <v>1</v>
      </c>
      <c r="GH37" s="79">
        <v>25</v>
      </c>
      <c r="GI37" s="45" t="s">
        <v>28</v>
      </c>
      <c r="GJ37" s="65">
        <f t="shared" si="60"/>
        <v>25</v>
      </c>
      <c r="GK37" s="80">
        <f t="shared" si="61"/>
        <v>125</v>
      </c>
      <c r="GL37" s="6"/>
      <c r="GM37" s="4"/>
      <c r="GN37" s="417"/>
      <c r="GO37" s="70"/>
      <c r="GP37" s="43"/>
      <c r="GQ37" s="43"/>
      <c r="GR37" s="43"/>
      <c r="GS37" s="71"/>
      <c r="GT37" s="71"/>
      <c r="GU37" s="141"/>
      <c r="GV37" s="45" t="s">
        <v>28</v>
      </c>
      <c r="GW37" s="65">
        <f t="shared" si="67"/>
        <v>0</v>
      </c>
      <c r="GX37" s="106">
        <f t="shared" si="68"/>
        <v>0</v>
      </c>
      <c r="GY37" s="94"/>
      <c r="GZ37" s="13">
        <f t="shared" si="69"/>
        <v>0</v>
      </c>
      <c r="HA37" s="416"/>
      <c r="HB37" s="70"/>
      <c r="HC37" s="99" t="s">
        <v>337</v>
      </c>
      <c r="HD37" s="100"/>
      <c r="HE37" s="100"/>
      <c r="HF37" s="65"/>
      <c r="HG37" s="65"/>
      <c r="HH37" s="141">
        <v>75.25</v>
      </c>
      <c r="HI37" s="45" t="s">
        <v>28</v>
      </c>
      <c r="HJ37" s="65">
        <f t="shared" si="57"/>
        <v>0</v>
      </c>
      <c r="HK37" s="80">
        <f t="shared" si="58"/>
        <v>0</v>
      </c>
      <c r="HL37" s="6"/>
      <c r="HM37" s="13">
        <f t="shared" si="59"/>
        <v>0</v>
      </c>
      <c r="HN37" s="417"/>
      <c r="HO37" s="70"/>
      <c r="HP37" s="100"/>
      <c r="HQ37" s="100"/>
      <c r="HR37" s="100"/>
      <c r="HS37" s="65"/>
      <c r="HT37" s="65"/>
      <c r="HU37" s="141"/>
      <c r="HV37" s="45" t="s">
        <v>28</v>
      </c>
      <c r="HW37" s="108">
        <f t="shared" si="10"/>
        <v>0</v>
      </c>
      <c r="HX37" s="107">
        <f t="shared" si="14"/>
        <v>0</v>
      </c>
      <c r="HY37" s="94"/>
      <c r="HZ37" s="4"/>
      <c r="IA37" s="70"/>
      <c r="IB37" s="38" t="s">
        <v>498</v>
      </c>
      <c r="IC37" s="43"/>
      <c r="ID37" s="43"/>
      <c r="IE37" s="65"/>
      <c r="IF37" s="65"/>
      <c r="IG37" s="79"/>
      <c r="IH37" s="45" t="s">
        <v>28</v>
      </c>
      <c r="II37" s="65"/>
      <c r="IJ37" s="106"/>
      <c r="IK37" s="94"/>
      <c r="IL37" s="11">
        <f t="shared" si="44"/>
        <v>300</v>
      </c>
      <c r="IM37" s="13">
        <f t="shared" si="1"/>
        <v>0</v>
      </c>
      <c r="IN37" s="13">
        <f t="shared" si="2"/>
        <v>0</v>
      </c>
      <c r="IO37" s="13">
        <f t="shared" si="62"/>
        <v>0</v>
      </c>
      <c r="IP37" s="13">
        <f t="shared" si="4"/>
        <v>0</v>
      </c>
      <c r="IQ37" s="11">
        <f t="shared" si="5"/>
        <v>0</v>
      </c>
      <c r="IR37" s="11">
        <f t="shared" si="6"/>
        <v>195</v>
      </c>
      <c r="IS37" s="4"/>
      <c r="IT37" s="4"/>
      <c r="IU37" s="6" t="s">
        <v>28</v>
      </c>
      <c r="IV37" s="13">
        <f>(IF37*IG37)</f>
        <v>0</v>
      </c>
    </row>
    <row r="38" spans="1:256" ht="12.75">
      <c r="A38" s="225"/>
      <c r="B38" s="204"/>
      <c r="C38" s="24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8"/>
      <c r="P38" s="207"/>
      <c r="Q38" s="208"/>
      <c r="R38" s="209"/>
      <c r="S38" s="59"/>
      <c r="T38" s="44" t="s">
        <v>499</v>
      </c>
      <c r="U38" s="43"/>
      <c r="V38" s="43"/>
      <c r="W38" s="43"/>
      <c r="X38" s="65"/>
      <c r="Y38" s="62">
        <f>19500*BD2/1000</f>
        <v>3900</v>
      </c>
      <c r="Z38" s="63">
        <f t="shared" si="74"/>
        <v>0</v>
      </c>
      <c r="AA38" s="6"/>
      <c r="AB38" s="59"/>
      <c r="AC38" s="70"/>
      <c r="AD38" s="43"/>
      <c r="AE38" s="43"/>
      <c r="AF38" s="43"/>
      <c r="AG38" s="43"/>
      <c r="AH38" s="100"/>
      <c r="AI38" s="371"/>
      <c r="AJ38" s="409"/>
      <c r="AK38" s="266"/>
      <c r="AL38" s="45"/>
      <c r="AM38" s="43"/>
      <c r="AN38" s="70"/>
      <c r="AO38" s="43"/>
      <c r="AP38" s="43"/>
      <c r="AQ38" s="43"/>
      <c r="AR38" s="43"/>
      <c r="AS38" s="43"/>
      <c r="AT38" s="43"/>
      <c r="AU38" s="43"/>
      <c r="AV38" s="43"/>
      <c r="AW38" s="94"/>
      <c r="AX38" s="46"/>
      <c r="AY38" s="43"/>
      <c r="AZ38" s="43"/>
      <c r="BA38" s="70"/>
      <c r="BB38" s="99" t="s">
        <v>500</v>
      </c>
      <c r="BC38" s="100"/>
      <c r="BD38" s="100"/>
      <c r="BE38" s="71"/>
      <c r="BF38" s="65"/>
      <c r="BG38" s="79">
        <v>24.75</v>
      </c>
      <c r="BH38" s="45" t="s">
        <v>28</v>
      </c>
      <c r="BI38" s="65">
        <f t="shared" si="40"/>
        <v>0</v>
      </c>
      <c r="BJ38" s="80">
        <f t="shared" si="36"/>
        <v>0</v>
      </c>
      <c r="BK38" s="45"/>
      <c r="BL38" s="43"/>
      <c r="BM38" s="58"/>
      <c r="BN38" s="70"/>
      <c r="BO38" s="99" t="s">
        <v>501</v>
      </c>
      <c r="BP38" s="100"/>
      <c r="BQ38" s="43"/>
      <c r="BR38" s="71">
        <v>0.15</v>
      </c>
      <c r="BS38" s="65">
        <f t="shared" si="75"/>
        <v>0</v>
      </c>
      <c r="BT38" s="79">
        <v>0.275</v>
      </c>
      <c r="BU38" s="45" t="s">
        <v>28</v>
      </c>
      <c r="BV38" s="65">
        <f t="shared" si="76"/>
        <v>0</v>
      </c>
      <c r="BW38" s="80">
        <f t="shared" si="77"/>
        <v>0</v>
      </c>
      <c r="BX38" s="6"/>
      <c r="BY38" s="4"/>
      <c r="BZ38" s="4"/>
      <c r="CA38" s="6"/>
      <c r="CB38" s="112" t="s">
        <v>346</v>
      </c>
      <c r="CC38" s="100"/>
      <c r="CD38" s="43"/>
      <c r="CE38" s="71"/>
      <c r="CF38" s="65"/>
      <c r="CG38" s="79">
        <v>97.2</v>
      </c>
      <c r="CH38" s="45" t="s">
        <v>28</v>
      </c>
      <c r="CI38" s="65">
        <f t="shared" si="15"/>
        <v>0</v>
      </c>
      <c r="CJ38" s="80">
        <f t="shared" si="56"/>
        <v>0</v>
      </c>
      <c r="CK38" s="6"/>
      <c r="CL38" s="4"/>
      <c r="CM38" s="11"/>
      <c r="CN38" s="6"/>
      <c r="CO38" s="112" t="s">
        <v>502</v>
      </c>
      <c r="CP38" s="100"/>
      <c r="CQ38" s="100"/>
      <c r="CR38" s="71">
        <f>20/2</f>
        <v>10</v>
      </c>
      <c r="CS38" s="65">
        <v>21</v>
      </c>
      <c r="CT38" s="328">
        <f>(CR39)</f>
        <v>0.795</v>
      </c>
      <c r="CU38" s="45" t="s">
        <v>28</v>
      </c>
      <c r="CV38" s="65">
        <f>(CR38*CT38*CS38)</f>
        <v>166.95000000000002</v>
      </c>
      <c r="CW38" s="80">
        <f>(CV38/$BF$2)*1000</f>
        <v>834.7500000000001</v>
      </c>
      <c r="CX38" s="6"/>
      <c r="CY38" s="4"/>
      <c r="CZ38" s="11"/>
      <c r="DA38" s="6"/>
      <c r="DB38" s="38" t="s">
        <v>503</v>
      </c>
      <c r="DC38" s="43"/>
      <c r="DD38" s="339">
        <f>(DF8)</f>
        <v>100</v>
      </c>
      <c r="DE38" s="127" t="s">
        <v>72</v>
      </c>
      <c r="DF38" s="65"/>
      <c r="DG38" s="79"/>
      <c r="DH38" s="45" t="s">
        <v>28</v>
      </c>
      <c r="DI38" s="65"/>
      <c r="DJ38" s="80"/>
      <c r="DK38" s="6"/>
      <c r="DL38" s="4"/>
      <c r="DM38" s="4"/>
      <c r="DN38" s="6"/>
      <c r="DO38" s="112" t="s">
        <v>267</v>
      </c>
      <c r="DP38" s="100"/>
      <c r="DQ38" s="43"/>
      <c r="DR38" s="71">
        <v>0</v>
      </c>
      <c r="DS38" s="343">
        <f>$DS$7</f>
        <v>80</v>
      </c>
      <c r="DT38" s="79">
        <f>$DW$8</f>
        <v>2</v>
      </c>
      <c r="DU38" s="45" t="s">
        <v>28</v>
      </c>
      <c r="DV38" s="65">
        <f>(DR38*(DS38/5)*DT38)</f>
        <v>0</v>
      </c>
      <c r="DW38" s="80">
        <f t="shared" si="65"/>
        <v>0</v>
      </c>
      <c r="DX38" s="45"/>
      <c r="DY38" s="43"/>
      <c r="DZ38" s="4"/>
      <c r="EA38" s="6"/>
      <c r="EB38" s="112" t="s">
        <v>504</v>
      </c>
      <c r="EC38" s="100"/>
      <c r="ED38" s="100"/>
      <c r="EE38" s="71">
        <v>1</v>
      </c>
      <c r="EF38" s="65">
        <v>2</v>
      </c>
      <c r="EG38" s="79">
        <v>20</v>
      </c>
      <c r="EH38" s="45"/>
      <c r="EI38" s="65">
        <f t="shared" si="23"/>
        <v>40</v>
      </c>
      <c r="EJ38" s="106">
        <f t="shared" si="24"/>
        <v>200</v>
      </c>
      <c r="EK38" s="45"/>
      <c r="EL38" s="46"/>
      <c r="EM38" s="43"/>
      <c r="EN38" s="70"/>
      <c r="EO38" s="99" t="s">
        <v>505</v>
      </c>
      <c r="EP38" s="100"/>
      <c r="EQ38" s="100"/>
      <c r="ER38" s="71"/>
      <c r="ES38" s="65">
        <v>0</v>
      </c>
      <c r="ET38" s="79">
        <v>196</v>
      </c>
      <c r="EU38" s="45" t="s">
        <v>28</v>
      </c>
      <c r="EV38" s="65">
        <f t="shared" si="70"/>
        <v>0</v>
      </c>
      <c r="EW38" s="80">
        <f t="shared" si="71"/>
        <v>0</v>
      </c>
      <c r="EX38" s="45"/>
      <c r="EY38" s="43"/>
      <c r="EZ38" s="43"/>
      <c r="FA38" s="58"/>
      <c r="FB38" s="70"/>
      <c r="FC38" s="99" t="s">
        <v>407</v>
      </c>
      <c r="FD38" s="100"/>
      <c r="FE38" s="100"/>
      <c r="FF38" s="71">
        <v>1</v>
      </c>
      <c r="FG38" s="65">
        <v>1</v>
      </c>
      <c r="FH38" s="79">
        <v>230</v>
      </c>
      <c r="FI38" s="45" t="s">
        <v>28</v>
      </c>
      <c r="FJ38" s="65">
        <f t="shared" si="72"/>
        <v>230</v>
      </c>
      <c r="FK38" s="80">
        <f t="shared" si="73"/>
        <v>1150</v>
      </c>
      <c r="FL38" s="6"/>
      <c r="FM38" s="4"/>
      <c r="FN38" s="417"/>
      <c r="FO38" s="70"/>
      <c r="FP38" s="99" t="s">
        <v>506</v>
      </c>
      <c r="FQ38" s="100"/>
      <c r="FR38" s="100"/>
      <c r="FS38" s="71">
        <v>0</v>
      </c>
      <c r="FT38" s="65">
        <v>1</v>
      </c>
      <c r="FU38" s="79">
        <v>350</v>
      </c>
      <c r="FV38" s="45" t="s">
        <v>28</v>
      </c>
      <c r="FW38" s="65">
        <f>(FS38*FT38*FU38)*(1.25)</f>
        <v>0</v>
      </c>
      <c r="FX38" s="80">
        <f>(FW38/$BF$2)*1000</f>
        <v>0</v>
      </c>
      <c r="FY38" s="45"/>
      <c r="FZ38" s="4"/>
      <c r="GA38" s="421"/>
      <c r="GB38" s="70"/>
      <c r="GC38" s="99" t="s">
        <v>507</v>
      </c>
      <c r="GD38" s="100"/>
      <c r="GE38" s="100"/>
      <c r="GF38" s="71">
        <v>1</v>
      </c>
      <c r="GG38" s="65">
        <v>1</v>
      </c>
      <c r="GH38" s="79">
        <v>40</v>
      </c>
      <c r="GI38" s="45" t="s">
        <v>28</v>
      </c>
      <c r="GJ38" s="65">
        <f t="shared" si="60"/>
        <v>40</v>
      </c>
      <c r="GK38" s="80">
        <f t="shared" si="61"/>
        <v>200</v>
      </c>
      <c r="GL38" s="6"/>
      <c r="GM38" s="4"/>
      <c r="GN38" s="417"/>
      <c r="GO38" s="70"/>
      <c r="GP38" s="43"/>
      <c r="GQ38" s="43"/>
      <c r="GR38" s="43"/>
      <c r="GS38" s="71"/>
      <c r="GT38" s="71"/>
      <c r="GU38" s="141"/>
      <c r="GV38" s="45" t="s">
        <v>28</v>
      </c>
      <c r="GW38" s="65">
        <f t="shared" si="67"/>
        <v>0</v>
      </c>
      <c r="GX38" s="106">
        <f t="shared" si="68"/>
        <v>0</v>
      </c>
      <c r="GY38" s="94"/>
      <c r="GZ38" s="13">
        <f t="shared" si="69"/>
        <v>0</v>
      </c>
      <c r="HA38" s="416"/>
      <c r="HB38" s="70"/>
      <c r="HC38" s="99" t="s">
        <v>355</v>
      </c>
      <c r="HD38" s="100"/>
      <c r="HE38" s="100"/>
      <c r="HF38" s="65"/>
      <c r="HG38" s="65"/>
      <c r="HH38" s="141">
        <v>83.125</v>
      </c>
      <c r="HI38" s="45" t="s">
        <v>28</v>
      </c>
      <c r="HJ38" s="65">
        <f t="shared" si="57"/>
        <v>0</v>
      </c>
      <c r="HK38" s="80">
        <f t="shared" si="58"/>
        <v>0</v>
      </c>
      <c r="HL38" s="6"/>
      <c r="HM38" s="13">
        <f t="shared" si="59"/>
        <v>0</v>
      </c>
      <c r="HN38" s="417"/>
      <c r="HO38" s="70"/>
      <c r="HP38" s="100"/>
      <c r="HQ38" s="100"/>
      <c r="HR38" s="100"/>
      <c r="HS38" s="65"/>
      <c r="HT38" s="65"/>
      <c r="HU38" s="141"/>
      <c r="HV38" s="45" t="s">
        <v>28</v>
      </c>
      <c r="HW38" s="108">
        <f t="shared" si="10"/>
        <v>0</v>
      </c>
      <c r="HX38" s="107">
        <f t="shared" si="14"/>
        <v>0</v>
      </c>
      <c r="HY38" s="94"/>
      <c r="HZ38" s="4"/>
      <c r="IA38" s="70"/>
      <c r="IB38" s="112" t="s">
        <v>508</v>
      </c>
      <c r="IC38" s="100"/>
      <c r="ID38" s="100"/>
      <c r="IE38" s="65">
        <v>1</v>
      </c>
      <c r="IF38" s="65">
        <f>(AU45)</f>
        <v>2000</v>
      </c>
      <c r="IG38" s="79">
        <f>(IF38*365)/1000</f>
        <v>730</v>
      </c>
      <c r="IH38" s="45" t="s">
        <v>28</v>
      </c>
      <c r="II38" s="65">
        <f>IF(IF38&lt;=0,0,IG38)</f>
        <v>730</v>
      </c>
      <c r="IJ38" s="106">
        <f aca="true" t="shared" si="78" ref="IJ38:IJ50">IF(IF38&lt;=0,0,(II38/$BF$2)*1000)</f>
        <v>3650</v>
      </c>
      <c r="IK38" s="94"/>
      <c r="IL38" s="11">
        <f t="shared" si="44"/>
        <v>0</v>
      </c>
      <c r="IM38" s="13">
        <f t="shared" si="1"/>
        <v>0</v>
      </c>
      <c r="IN38" s="13">
        <f t="shared" si="2"/>
        <v>0</v>
      </c>
      <c r="IO38" s="13"/>
      <c r="IP38" s="13">
        <f t="shared" si="4"/>
        <v>0</v>
      </c>
      <c r="IQ38" s="11">
        <f t="shared" si="5"/>
        <v>0</v>
      </c>
      <c r="IR38" s="11">
        <f t="shared" si="6"/>
        <v>0</v>
      </c>
      <c r="IS38" s="4"/>
      <c r="IT38" s="4"/>
      <c r="IU38" s="6" t="s">
        <v>28</v>
      </c>
      <c r="IV38" s="13">
        <f>(IF38*IG38)</f>
        <v>1460000</v>
      </c>
    </row>
    <row r="39" spans="1:256" ht="12.75">
      <c r="A39" s="225"/>
      <c r="B39" s="204"/>
      <c r="C39" s="245"/>
      <c r="D39" s="205"/>
      <c r="E39" s="205"/>
      <c r="F39" s="205"/>
      <c r="G39" s="205"/>
      <c r="H39" s="205"/>
      <c r="I39" s="74"/>
      <c r="J39" s="74"/>
      <c r="K39" s="74"/>
      <c r="L39" s="205"/>
      <c r="M39" s="205"/>
      <c r="N39" s="205"/>
      <c r="O39" s="208"/>
      <c r="P39" s="207"/>
      <c r="Q39" s="208"/>
      <c r="R39" s="209"/>
      <c r="S39" s="59"/>
      <c r="T39" s="44" t="s">
        <v>509</v>
      </c>
      <c r="U39" s="43"/>
      <c r="V39" s="43"/>
      <c r="W39" s="43"/>
      <c r="X39" s="65"/>
      <c r="Y39" s="62">
        <f>(840.8+5465.23+5823)*BD2/1000</f>
        <v>2425.806</v>
      </c>
      <c r="Z39" s="63">
        <f t="shared" si="74"/>
        <v>0</v>
      </c>
      <c r="AA39" s="6"/>
      <c r="AB39" s="59"/>
      <c r="AC39" s="70"/>
      <c r="AD39" s="43"/>
      <c r="AE39" s="45" t="s">
        <v>510</v>
      </c>
      <c r="AF39" s="43"/>
      <c r="AG39" s="43"/>
      <c r="AH39" s="108"/>
      <c r="AI39" s="386">
        <f>(II36+II113)</f>
        <v>4638</v>
      </c>
      <c r="AJ39" s="408">
        <f>AI39</f>
        <v>4638</v>
      </c>
      <c r="AK39" s="390" t="s">
        <v>511</v>
      </c>
      <c r="AL39" s="45"/>
      <c r="AM39" s="43"/>
      <c r="AN39" s="70"/>
      <c r="AO39" s="43"/>
      <c r="AP39" s="43"/>
      <c r="AQ39" s="428" t="s">
        <v>512</v>
      </c>
      <c r="AR39" s="358"/>
      <c r="AS39" s="43"/>
      <c r="AT39" s="43"/>
      <c r="AU39" s="310">
        <f>(IF96)</f>
        <v>10116</v>
      </c>
      <c r="AV39" s="60" t="s">
        <v>513</v>
      </c>
      <c r="AW39" s="94"/>
      <c r="AX39" s="46"/>
      <c r="AY39" s="43"/>
      <c r="AZ39" s="43"/>
      <c r="BA39" s="70"/>
      <c r="BB39" s="99" t="s">
        <v>514</v>
      </c>
      <c r="BC39" s="100"/>
      <c r="BD39" s="100"/>
      <c r="BE39" s="71"/>
      <c r="BF39" s="65"/>
      <c r="BG39" s="79">
        <v>8.8</v>
      </c>
      <c r="BH39" s="45" t="s">
        <v>28</v>
      </c>
      <c r="BI39" s="65">
        <f t="shared" si="40"/>
        <v>0</v>
      </c>
      <c r="BJ39" s="80">
        <f t="shared" si="36"/>
        <v>0</v>
      </c>
      <c r="BK39" s="45"/>
      <c r="BL39" s="43"/>
      <c r="BM39" s="58"/>
      <c r="BN39" s="70"/>
      <c r="BO39" s="99" t="s">
        <v>281</v>
      </c>
      <c r="BP39" s="100"/>
      <c r="BQ39" s="43"/>
      <c r="BR39" s="71">
        <v>0.2</v>
      </c>
      <c r="BS39" s="65">
        <f t="shared" si="75"/>
        <v>0</v>
      </c>
      <c r="BT39" s="79">
        <v>1.1</v>
      </c>
      <c r="BU39" s="45" t="s">
        <v>28</v>
      </c>
      <c r="BV39" s="65">
        <f t="shared" si="76"/>
        <v>0</v>
      </c>
      <c r="BW39" s="80">
        <f t="shared" si="77"/>
        <v>0</v>
      </c>
      <c r="BX39" s="6"/>
      <c r="BY39" s="4"/>
      <c r="BZ39" s="4"/>
      <c r="CA39" s="6"/>
      <c r="CB39" s="59"/>
      <c r="CC39" s="43"/>
      <c r="CD39" s="43"/>
      <c r="CE39" s="71"/>
      <c r="CF39" s="65"/>
      <c r="CG39" s="79"/>
      <c r="CH39" s="45" t="s">
        <v>28</v>
      </c>
      <c r="CI39" s="65">
        <f t="shared" si="15"/>
        <v>0</v>
      </c>
      <c r="CJ39" s="80"/>
      <c r="CK39" s="6"/>
      <c r="CL39" s="4"/>
      <c r="CM39" s="11"/>
      <c r="CN39" s="6"/>
      <c r="CO39" s="112" t="s">
        <v>515</v>
      </c>
      <c r="CP39" s="100"/>
      <c r="CQ39" s="100"/>
      <c r="CR39" s="71">
        <v>0.795</v>
      </c>
      <c r="CS39" s="317">
        <f>(CR38*CS38)</f>
        <v>210</v>
      </c>
      <c r="CT39" s="329">
        <f>(CR39)</f>
        <v>0.795</v>
      </c>
      <c r="CU39" s="45" t="s">
        <v>28</v>
      </c>
      <c r="CV39" s="65">
        <f>(CT39*CS39)</f>
        <v>166.95000000000002</v>
      </c>
      <c r="CW39" s="80">
        <f>(CV39/$BF$2)*1000</f>
        <v>834.7500000000001</v>
      </c>
      <c r="CX39" s="6"/>
      <c r="CY39" s="4"/>
      <c r="CZ39" s="11"/>
      <c r="DA39" s="6"/>
      <c r="DB39" s="112" t="s">
        <v>185</v>
      </c>
      <c r="DC39" s="100"/>
      <c r="DD39" s="43"/>
      <c r="DE39" s="71"/>
      <c r="DF39" s="65">
        <f aca="true" t="shared" si="79" ref="DF39:DF44">$DF$8</f>
        <v>100</v>
      </c>
      <c r="DG39" s="79">
        <v>0.45</v>
      </c>
      <c r="DH39" s="45" t="s">
        <v>28</v>
      </c>
      <c r="DI39" s="65">
        <f>(DE39*DF39*DG39)</f>
        <v>0</v>
      </c>
      <c r="DJ39" s="80">
        <f aca="true" t="shared" si="80" ref="DJ39:DJ44">(DI39/$BF$2)*1000</f>
        <v>0</v>
      </c>
      <c r="DK39" s="6"/>
      <c r="DL39" s="4"/>
      <c r="DM39" s="4"/>
      <c r="DN39" s="6"/>
      <c r="DO39" s="59"/>
      <c r="DP39" s="43"/>
      <c r="DQ39" s="43"/>
      <c r="DR39" s="71"/>
      <c r="DS39" s="65"/>
      <c r="DT39" s="79"/>
      <c r="DU39" s="45" t="s">
        <v>28</v>
      </c>
      <c r="DV39" s="65"/>
      <c r="DW39" s="80"/>
      <c r="DX39" s="45"/>
      <c r="DY39" s="43"/>
      <c r="DZ39" s="4"/>
      <c r="EA39" s="6"/>
      <c r="EB39" s="126"/>
      <c r="EC39" s="100"/>
      <c r="ED39" s="100"/>
      <c r="EE39" s="71"/>
      <c r="EF39" s="65"/>
      <c r="EG39" s="79"/>
      <c r="EH39" s="45"/>
      <c r="EI39" s="65">
        <f t="shared" si="23"/>
        <v>0</v>
      </c>
      <c r="EJ39" s="106">
        <f t="shared" si="24"/>
        <v>0</v>
      </c>
      <c r="EK39" s="45"/>
      <c r="EL39" s="46"/>
      <c r="EM39" s="43"/>
      <c r="EN39" s="70"/>
      <c r="EO39" s="99" t="s">
        <v>516</v>
      </c>
      <c r="EP39" s="100"/>
      <c r="EQ39" s="100"/>
      <c r="ER39" s="71"/>
      <c r="ES39" s="65"/>
      <c r="ET39" s="79">
        <v>245</v>
      </c>
      <c r="EU39" s="45" t="s">
        <v>28</v>
      </c>
      <c r="EV39" s="65">
        <f t="shared" si="70"/>
        <v>0</v>
      </c>
      <c r="EW39" s="80">
        <f t="shared" si="71"/>
        <v>0</v>
      </c>
      <c r="EX39" s="45"/>
      <c r="EY39" s="43"/>
      <c r="EZ39" s="43"/>
      <c r="FA39" s="58"/>
      <c r="FB39" s="70"/>
      <c r="FC39" s="99" t="s">
        <v>417</v>
      </c>
      <c r="FD39" s="100"/>
      <c r="FE39" s="100"/>
      <c r="FF39" s="71"/>
      <c r="FG39" s="65"/>
      <c r="FH39" s="79">
        <v>265</v>
      </c>
      <c r="FI39" s="45" t="s">
        <v>28</v>
      </c>
      <c r="FJ39" s="65">
        <f t="shared" si="72"/>
        <v>0</v>
      </c>
      <c r="FK39" s="80">
        <f t="shared" si="73"/>
        <v>0</v>
      </c>
      <c r="FL39" s="6"/>
      <c r="FM39" s="4"/>
      <c r="FN39" s="417"/>
      <c r="FO39" s="70"/>
      <c r="FP39" s="99" t="s">
        <v>517</v>
      </c>
      <c r="FQ39" s="100"/>
      <c r="FR39" s="100"/>
      <c r="FS39" s="71"/>
      <c r="FT39" s="65"/>
      <c r="FU39" s="79">
        <v>420</v>
      </c>
      <c r="FV39" s="45" t="s">
        <v>28</v>
      </c>
      <c r="FW39" s="65">
        <f>(FS39*FT39*FU39)*(1.25)</f>
        <v>0</v>
      </c>
      <c r="FX39" s="80">
        <f>(FW39/$BF$2)*1000</f>
        <v>0</v>
      </c>
      <c r="FY39" s="45"/>
      <c r="FZ39" s="4"/>
      <c r="GA39" s="421"/>
      <c r="GB39" s="70"/>
      <c r="GC39" s="99" t="s">
        <v>518</v>
      </c>
      <c r="GD39" s="100"/>
      <c r="GE39" s="100"/>
      <c r="GF39" s="71">
        <v>1</v>
      </c>
      <c r="GG39" s="65">
        <v>1</v>
      </c>
      <c r="GH39" s="79">
        <v>35</v>
      </c>
      <c r="GI39" s="45" t="s">
        <v>28</v>
      </c>
      <c r="GJ39" s="65">
        <f t="shared" si="60"/>
        <v>35</v>
      </c>
      <c r="GK39" s="80">
        <f t="shared" si="61"/>
        <v>175</v>
      </c>
      <c r="GL39" s="6"/>
      <c r="GM39" s="4"/>
      <c r="GN39" s="417"/>
      <c r="GO39" s="70"/>
      <c r="GP39" s="43"/>
      <c r="GQ39" s="43"/>
      <c r="GR39" s="43"/>
      <c r="GS39" s="71"/>
      <c r="GT39" s="71"/>
      <c r="GU39" s="71"/>
      <c r="GV39" s="45" t="s">
        <v>28</v>
      </c>
      <c r="GW39" s="43"/>
      <c r="GX39" s="106"/>
      <c r="GY39" s="94"/>
      <c r="GZ39" s="4"/>
      <c r="HA39" s="416"/>
      <c r="HB39" s="70"/>
      <c r="HC39" s="99" t="s">
        <v>368</v>
      </c>
      <c r="HD39" s="100"/>
      <c r="HE39" s="100"/>
      <c r="HF39" s="65"/>
      <c r="HG39" s="65"/>
      <c r="HH39" s="141">
        <v>92.75</v>
      </c>
      <c r="HI39" s="45" t="s">
        <v>28</v>
      </c>
      <c r="HJ39" s="65">
        <f t="shared" si="57"/>
        <v>0</v>
      </c>
      <c r="HK39" s="80">
        <f t="shared" si="58"/>
        <v>0</v>
      </c>
      <c r="HL39" s="6"/>
      <c r="HM39" s="13">
        <f t="shared" si="59"/>
        <v>0</v>
      </c>
      <c r="HN39" s="417"/>
      <c r="HO39" s="70"/>
      <c r="HP39" s="100"/>
      <c r="HQ39" s="100"/>
      <c r="HR39" s="100"/>
      <c r="HS39" s="65"/>
      <c r="HT39" s="65"/>
      <c r="HU39" s="141"/>
      <c r="HV39" s="45" t="s">
        <v>28</v>
      </c>
      <c r="HW39" s="108">
        <f t="shared" si="10"/>
        <v>0</v>
      </c>
      <c r="HX39" s="107">
        <f t="shared" si="14"/>
        <v>0</v>
      </c>
      <c r="HY39" s="94"/>
      <c r="HZ39" s="4"/>
      <c r="IA39" s="70"/>
      <c r="IB39" s="112" t="s">
        <v>519</v>
      </c>
      <c r="IC39" s="100"/>
      <c r="ID39" s="100"/>
      <c r="IE39" s="65">
        <v>0</v>
      </c>
      <c r="IF39" s="65">
        <v>0</v>
      </c>
      <c r="IG39" s="79">
        <v>150</v>
      </c>
      <c r="IH39" s="45" t="s">
        <v>28</v>
      </c>
      <c r="II39" s="65">
        <f aca="true" t="shared" si="81" ref="II39:II50">IF(IF39&lt;=0,0,IG39*IF39)</f>
        <v>0</v>
      </c>
      <c r="IJ39" s="106">
        <f t="shared" si="78"/>
        <v>0</v>
      </c>
      <c r="IK39" s="94"/>
      <c r="IL39" s="11">
        <f t="shared" si="44"/>
        <v>0</v>
      </c>
      <c r="IM39" s="13">
        <f t="shared" si="1"/>
        <v>0</v>
      </c>
      <c r="IN39" s="13"/>
      <c r="IO39" s="13"/>
      <c r="IP39" s="13">
        <f t="shared" si="4"/>
        <v>0</v>
      </c>
      <c r="IQ39" s="11">
        <f t="shared" si="5"/>
        <v>88</v>
      </c>
      <c r="IR39" s="11">
        <f t="shared" si="6"/>
        <v>0</v>
      </c>
      <c r="IS39" s="4"/>
      <c r="IT39" s="4"/>
      <c r="IU39" s="6" t="s">
        <v>28</v>
      </c>
      <c r="IV39" s="13">
        <f>(IF39*IG39)</f>
        <v>0</v>
      </c>
    </row>
    <row r="40" spans="1:256" ht="12.75">
      <c r="A40" s="225"/>
      <c r="B40" s="204"/>
      <c r="C40" s="245"/>
      <c r="D40" s="74"/>
      <c r="E40" s="74"/>
      <c r="F40" s="74"/>
      <c r="G40" s="205"/>
      <c r="H40" s="205"/>
      <c r="I40" s="557" t="s">
        <v>520</v>
      </c>
      <c r="J40" s="557"/>
      <c r="K40" s="557"/>
      <c r="L40" s="205"/>
      <c r="M40" s="205"/>
      <c r="N40" s="205"/>
      <c r="O40" s="208"/>
      <c r="P40" s="207"/>
      <c r="Q40" s="208"/>
      <c r="R40" s="209"/>
      <c r="S40" s="59"/>
      <c r="T40" s="44" t="s">
        <v>521</v>
      </c>
      <c r="U40" s="43"/>
      <c r="V40" s="43"/>
      <c r="W40" s="43"/>
      <c r="X40" s="65"/>
      <c r="Y40" s="62">
        <v>0</v>
      </c>
      <c r="Z40" s="63">
        <f t="shared" si="74"/>
        <v>0</v>
      </c>
      <c r="AA40" s="6"/>
      <c r="AB40" s="59"/>
      <c r="AC40" s="70"/>
      <c r="AD40" s="43"/>
      <c r="AE40" s="43"/>
      <c r="AF40" s="43"/>
      <c r="AG40" s="43"/>
      <c r="AH40" s="108"/>
      <c r="AI40" s="371"/>
      <c r="AJ40" s="408"/>
      <c r="AK40" s="266"/>
      <c r="AL40" s="45"/>
      <c r="AM40" s="43"/>
      <c r="AN40" s="70"/>
      <c r="AO40" s="43"/>
      <c r="AP40" s="43"/>
      <c r="AQ40" s="43"/>
      <c r="AR40" s="43"/>
      <c r="AS40" s="43"/>
      <c r="AT40" s="43"/>
      <c r="AU40" s="43"/>
      <c r="AV40" s="43"/>
      <c r="AW40" s="94"/>
      <c r="AX40" s="46"/>
      <c r="AY40" s="43"/>
      <c r="AZ40" s="43"/>
      <c r="BA40" s="70"/>
      <c r="BB40" s="99" t="s">
        <v>522</v>
      </c>
      <c r="BC40" s="100"/>
      <c r="BD40" s="100"/>
      <c r="BE40" s="43"/>
      <c r="BF40" s="65"/>
      <c r="BG40" s="79">
        <v>65</v>
      </c>
      <c r="BH40" s="45" t="s">
        <v>28</v>
      </c>
      <c r="BI40" s="65">
        <f t="shared" si="40"/>
        <v>0</v>
      </c>
      <c r="BJ40" s="80">
        <f t="shared" si="36"/>
        <v>0</v>
      </c>
      <c r="BK40" s="45"/>
      <c r="BL40" s="43"/>
      <c r="BM40" s="58"/>
      <c r="BN40" s="70"/>
      <c r="BO40" s="99" t="s">
        <v>235</v>
      </c>
      <c r="BP40" s="100"/>
      <c r="BQ40" s="43"/>
      <c r="BR40" s="71">
        <v>0</v>
      </c>
      <c r="BS40" s="65">
        <f t="shared" si="75"/>
        <v>0</v>
      </c>
      <c r="BT40" s="79">
        <f>BT39*1.3</f>
        <v>1.4300000000000002</v>
      </c>
      <c r="BU40" s="45" t="s">
        <v>28</v>
      </c>
      <c r="BV40" s="65">
        <f t="shared" si="76"/>
        <v>0</v>
      </c>
      <c r="BW40" s="80">
        <f t="shared" si="77"/>
        <v>0</v>
      </c>
      <c r="BX40" s="6"/>
      <c r="BY40" s="4"/>
      <c r="BZ40" s="4"/>
      <c r="CA40" s="6"/>
      <c r="CB40" s="38" t="s">
        <v>523</v>
      </c>
      <c r="CC40" s="43"/>
      <c r="CD40" s="43"/>
      <c r="CE40" s="71"/>
      <c r="CF40" s="65"/>
      <c r="CG40" s="79"/>
      <c r="CH40" s="45" t="s">
        <v>28</v>
      </c>
      <c r="CI40" s="65">
        <f t="shared" si="15"/>
        <v>0</v>
      </c>
      <c r="CJ40" s="80"/>
      <c r="CK40" s="6"/>
      <c r="CL40" s="4"/>
      <c r="CM40" s="11"/>
      <c r="CN40" s="6"/>
      <c r="CO40" s="59"/>
      <c r="CP40" s="43"/>
      <c r="CQ40" s="43"/>
      <c r="CR40" s="71"/>
      <c r="CS40" s="65"/>
      <c r="CT40" s="79"/>
      <c r="CU40" s="45" t="s">
        <v>28</v>
      </c>
      <c r="CV40" s="65">
        <f aca="true" t="shared" si="82" ref="CV40:CV53">(CR40*CT40)</f>
        <v>0</v>
      </c>
      <c r="CW40" s="80"/>
      <c r="CX40" s="6"/>
      <c r="CY40" s="4"/>
      <c r="CZ40" s="11"/>
      <c r="DA40" s="6"/>
      <c r="DB40" s="112" t="s">
        <v>199</v>
      </c>
      <c r="DC40" s="100"/>
      <c r="DD40" s="43"/>
      <c r="DE40" s="71"/>
      <c r="DF40" s="65">
        <f t="shared" si="79"/>
        <v>100</v>
      </c>
      <c r="DG40" s="79">
        <v>0.65</v>
      </c>
      <c r="DH40" s="45" t="s">
        <v>28</v>
      </c>
      <c r="DI40" s="65">
        <f>(DE40*DF40*DG40)</f>
        <v>0</v>
      </c>
      <c r="DJ40" s="80">
        <f t="shared" si="80"/>
        <v>0</v>
      </c>
      <c r="DK40" s="6"/>
      <c r="DL40" s="4"/>
      <c r="DM40" s="4"/>
      <c r="DN40" s="6"/>
      <c r="DO40" s="38" t="s">
        <v>524</v>
      </c>
      <c r="DP40" s="43"/>
      <c r="DQ40" s="339">
        <f>$DS$8</f>
        <v>20</v>
      </c>
      <c r="DR40" s="127" t="s">
        <v>72</v>
      </c>
      <c r="DS40" s="65"/>
      <c r="DT40" s="79"/>
      <c r="DU40" s="45" t="s">
        <v>28</v>
      </c>
      <c r="DV40" s="65"/>
      <c r="DW40" s="80"/>
      <c r="DX40" s="45"/>
      <c r="DY40" s="43"/>
      <c r="DZ40" s="4"/>
      <c r="EA40" s="6"/>
      <c r="EB40" s="59"/>
      <c r="EC40" s="43"/>
      <c r="ED40" s="43"/>
      <c r="EE40" s="71"/>
      <c r="EF40" s="65"/>
      <c r="EG40" s="79"/>
      <c r="EH40" s="45"/>
      <c r="EI40" s="65">
        <f t="shared" si="23"/>
        <v>0</v>
      </c>
      <c r="EJ40" s="106">
        <f t="shared" si="24"/>
        <v>0</v>
      </c>
      <c r="EK40" s="45"/>
      <c r="EL40" s="46"/>
      <c r="EM40" s="43"/>
      <c r="EN40" s="70"/>
      <c r="EO40" s="99" t="s">
        <v>525</v>
      </c>
      <c r="EP40" s="100"/>
      <c r="EQ40" s="100"/>
      <c r="ER40" s="71"/>
      <c r="ES40" s="65"/>
      <c r="ET40" s="79">
        <v>283</v>
      </c>
      <c r="EU40" s="45" t="s">
        <v>28</v>
      </c>
      <c r="EV40" s="65">
        <f t="shared" si="70"/>
        <v>0</v>
      </c>
      <c r="EW40" s="80">
        <f t="shared" si="71"/>
        <v>0</v>
      </c>
      <c r="EX40" s="45"/>
      <c r="EY40" s="43"/>
      <c r="EZ40" s="43"/>
      <c r="FA40" s="58"/>
      <c r="FB40" s="70"/>
      <c r="FC40" s="99" t="s">
        <v>433</v>
      </c>
      <c r="FD40" s="100"/>
      <c r="FE40" s="100"/>
      <c r="FF40" s="71"/>
      <c r="FG40" s="65"/>
      <c r="FH40" s="79">
        <v>310</v>
      </c>
      <c r="FI40" s="45" t="s">
        <v>28</v>
      </c>
      <c r="FJ40" s="65">
        <f t="shared" si="72"/>
        <v>0</v>
      </c>
      <c r="FK40" s="80">
        <f t="shared" si="73"/>
        <v>0</v>
      </c>
      <c r="FL40" s="6"/>
      <c r="FM40" s="4"/>
      <c r="FN40" s="417"/>
      <c r="FO40" s="70"/>
      <c r="FP40" s="99" t="s">
        <v>526</v>
      </c>
      <c r="FQ40" s="100"/>
      <c r="FR40" s="100"/>
      <c r="FS40" s="71">
        <v>1</v>
      </c>
      <c r="FT40" s="65">
        <v>2</v>
      </c>
      <c r="FU40" s="79">
        <v>20</v>
      </c>
      <c r="FV40" s="45" t="s">
        <v>28</v>
      </c>
      <c r="FW40" s="65">
        <f>(FS40*FT40*FU40)*(1.25)</f>
        <v>50</v>
      </c>
      <c r="FX40" s="80">
        <f>(FW40/$BF$2)*1000</f>
        <v>250</v>
      </c>
      <c r="FY40" s="45"/>
      <c r="FZ40" s="4"/>
      <c r="GA40" s="421"/>
      <c r="GB40" s="70"/>
      <c r="GC40" s="43"/>
      <c r="GD40" s="43"/>
      <c r="GE40" s="43"/>
      <c r="GF40" s="71"/>
      <c r="GG40" s="65"/>
      <c r="GH40" s="79"/>
      <c r="GI40" s="45" t="s">
        <v>28</v>
      </c>
      <c r="GJ40" s="65">
        <f t="shared" si="60"/>
        <v>0</v>
      </c>
      <c r="GK40" s="80">
        <f t="shared" si="61"/>
        <v>0</v>
      </c>
      <c r="GL40" s="6"/>
      <c r="GM40" s="4"/>
      <c r="GN40" s="417"/>
      <c r="GO40" s="70"/>
      <c r="GP40" s="47" t="s">
        <v>74</v>
      </c>
      <c r="GQ40" s="43"/>
      <c r="GR40" s="43"/>
      <c r="GS40" s="142" t="s">
        <v>335</v>
      </c>
      <c r="GT40" s="58">
        <f>GZ49</f>
        <v>0</v>
      </c>
      <c r="GU40" s="44" t="s">
        <v>336</v>
      </c>
      <c r="GV40" s="45" t="s">
        <v>28</v>
      </c>
      <c r="GW40" s="43"/>
      <c r="GX40" s="106"/>
      <c r="GY40" s="94"/>
      <c r="GZ40" s="13"/>
      <c r="HA40" s="416"/>
      <c r="HB40" s="70"/>
      <c r="HC40" s="47" t="s">
        <v>527</v>
      </c>
      <c r="HD40" s="43"/>
      <c r="HE40" s="43"/>
      <c r="HF40" s="65"/>
      <c r="HG40" s="65"/>
      <c r="HH40" s="141"/>
      <c r="HI40" s="45" t="s">
        <v>28</v>
      </c>
      <c r="HJ40" s="65"/>
      <c r="HK40" s="80"/>
      <c r="HL40" s="6"/>
      <c r="HM40" s="13"/>
      <c r="HN40" s="417"/>
      <c r="HO40" s="70"/>
      <c r="HP40" s="100"/>
      <c r="HQ40" s="100"/>
      <c r="HR40" s="100"/>
      <c r="HS40" s="65"/>
      <c r="HT40" s="65"/>
      <c r="HU40" s="141"/>
      <c r="HV40" s="45" t="s">
        <v>28</v>
      </c>
      <c r="HW40" s="108">
        <f t="shared" si="10"/>
        <v>0</v>
      </c>
      <c r="HX40" s="107">
        <f t="shared" si="14"/>
        <v>0</v>
      </c>
      <c r="HY40" s="94"/>
      <c r="HZ40" s="4"/>
      <c r="IA40" s="70"/>
      <c r="IB40" s="112" t="s">
        <v>528</v>
      </c>
      <c r="IC40" s="100"/>
      <c r="ID40" s="100"/>
      <c r="IE40" s="65">
        <v>0</v>
      </c>
      <c r="IF40" s="65">
        <v>0</v>
      </c>
      <c r="IG40" s="79">
        <v>640</v>
      </c>
      <c r="IH40" s="45" t="s">
        <v>28</v>
      </c>
      <c r="II40" s="65">
        <f t="shared" si="81"/>
        <v>0</v>
      </c>
      <c r="IJ40" s="106">
        <f t="shared" si="78"/>
        <v>0</v>
      </c>
      <c r="IK40" s="94"/>
      <c r="IL40" s="11">
        <f t="shared" si="44"/>
        <v>0</v>
      </c>
      <c r="IM40" s="13">
        <f t="shared" si="1"/>
        <v>0</v>
      </c>
      <c r="IN40" s="13"/>
      <c r="IO40" s="13"/>
      <c r="IP40" s="13">
        <f t="shared" si="4"/>
        <v>0</v>
      </c>
      <c r="IQ40" s="11">
        <f t="shared" si="5"/>
        <v>2690</v>
      </c>
      <c r="IR40" s="11">
        <f t="shared" si="6"/>
        <v>60</v>
      </c>
      <c r="IS40" s="4"/>
      <c r="IT40" s="4"/>
      <c r="IU40" s="6" t="s">
        <v>28</v>
      </c>
      <c r="IV40" s="13">
        <f>(IF40*IG40)</f>
        <v>0</v>
      </c>
    </row>
    <row r="41" spans="1:256" ht="13.5" thickBot="1">
      <c r="A41" s="225"/>
      <c r="B41" s="204"/>
      <c r="C41" s="245"/>
      <c r="D41" s="74"/>
      <c r="E41" s="74"/>
      <c r="F41" s="74"/>
      <c r="G41" s="205"/>
      <c r="H41" s="205"/>
      <c r="I41" s="74"/>
      <c r="J41" s="74"/>
      <c r="K41" s="74"/>
      <c r="L41" s="205"/>
      <c r="M41" s="205"/>
      <c r="N41" s="205"/>
      <c r="O41" s="208"/>
      <c r="P41" s="207"/>
      <c r="Q41" s="208"/>
      <c r="R41" s="209"/>
      <c r="S41" s="59"/>
      <c r="T41" s="44" t="s">
        <v>529</v>
      </c>
      <c r="U41" s="43"/>
      <c r="V41" s="43"/>
      <c r="W41" s="43"/>
      <c r="X41" s="43"/>
      <c r="Y41" s="62">
        <v>0</v>
      </c>
      <c r="Z41" s="63">
        <f t="shared" si="74"/>
        <v>0</v>
      </c>
      <c r="AA41" s="6"/>
      <c r="AB41" s="59"/>
      <c r="AC41" s="70"/>
      <c r="AD41" s="43"/>
      <c r="AE41" s="45" t="s">
        <v>530</v>
      </c>
      <c r="AF41" s="43"/>
      <c r="AG41" s="43"/>
      <c r="AH41" s="108"/>
      <c r="AI41" s="386">
        <f>(II53)-(II46+II45)</f>
        <v>2230</v>
      </c>
      <c r="AJ41" s="408">
        <f>AI41</f>
        <v>2230</v>
      </c>
      <c r="AK41" s="390" t="s">
        <v>531</v>
      </c>
      <c r="AL41" s="45"/>
      <c r="AM41" s="43"/>
      <c r="AN41" s="70"/>
      <c r="AO41" s="43"/>
      <c r="AP41" s="43"/>
      <c r="AQ41" s="43"/>
      <c r="AR41" s="44" t="s">
        <v>532</v>
      </c>
      <c r="AS41" s="43"/>
      <c r="AT41" s="311">
        <f>(IF89)</f>
        <v>3250</v>
      </c>
      <c r="AU41" s="60" t="s">
        <v>513</v>
      </c>
      <c r="AV41" s="43"/>
      <c r="AW41" s="94"/>
      <c r="AX41" s="46"/>
      <c r="AY41" s="43"/>
      <c r="AZ41" s="43"/>
      <c r="BA41" s="70"/>
      <c r="BB41" s="99" t="s">
        <v>533</v>
      </c>
      <c r="BC41" s="100"/>
      <c r="BD41" s="100"/>
      <c r="BE41" s="71">
        <v>1</v>
      </c>
      <c r="BF41" s="323">
        <f>(BD4)</f>
        <v>15</v>
      </c>
      <c r="BG41" s="79">
        <v>8.25</v>
      </c>
      <c r="BH41" s="45" t="s">
        <v>28</v>
      </c>
      <c r="BI41" s="65">
        <f t="shared" si="40"/>
        <v>123.75</v>
      </c>
      <c r="BJ41" s="80">
        <f t="shared" si="36"/>
        <v>618.75</v>
      </c>
      <c r="BK41" s="45"/>
      <c r="BL41" s="43"/>
      <c r="BM41" s="58"/>
      <c r="BN41" s="70"/>
      <c r="BO41" s="99" t="s">
        <v>313</v>
      </c>
      <c r="BP41" s="100"/>
      <c r="BQ41" s="43"/>
      <c r="BR41" s="71">
        <f>2*0.1</f>
        <v>0.2</v>
      </c>
      <c r="BS41" s="65">
        <f t="shared" si="75"/>
        <v>0</v>
      </c>
      <c r="BT41" s="79">
        <v>0.165</v>
      </c>
      <c r="BU41" s="45" t="s">
        <v>28</v>
      </c>
      <c r="BV41" s="65">
        <f t="shared" si="76"/>
        <v>0</v>
      </c>
      <c r="BW41" s="80">
        <f t="shared" si="77"/>
        <v>0</v>
      </c>
      <c r="BX41" s="6"/>
      <c r="BY41" s="4"/>
      <c r="BZ41" s="4"/>
      <c r="CA41" s="6"/>
      <c r="CB41" s="112" t="s">
        <v>183</v>
      </c>
      <c r="CC41" s="100"/>
      <c r="CD41" s="43"/>
      <c r="CE41" s="71"/>
      <c r="CF41" s="65"/>
      <c r="CG41" s="79">
        <v>12</v>
      </c>
      <c r="CH41" s="45" t="s">
        <v>28</v>
      </c>
      <c r="CI41" s="65">
        <f t="shared" si="15"/>
        <v>0</v>
      </c>
      <c r="CJ41" s="80">
        <f aca="true" t="shared" si="83" ref="CJ41:CJ53">(CI41/$BF$2)*1000</f>
        <v>0</v>
      </c>
      <c r="CK41" s="6"/>
      <c r="CL41" s="4"/>
      <c r="CM41" s="11"/>
      <c r="CN41" s="6"/>
      <c r="CO41" s="38" t="s">
        <v>534</v>
      </c>
      <c r="CP41" s="43"/>
      <c r="CQ41" s="43"/>
      <c r="CR41" s="71"/>
      <c r="CS41" s="65"/>
      <c r="CT41" s="79"/>
      <c r="CU41" s="45" t="s">
        <v>28</v>
      </c>
      <c r="CV41" s="65">
        <f t="shared" si="82"/>
        <v>0</v>
      </c>
      <c r="CW41" s="80"/>
      <c r="CX41" s="6"/>
      <c r="CY41" s="4"/>
      <c r="CZ41" s="11"/>
      <c r="DA41" s="6"/>
      <c r="DB41" s="112" t="s">
        <v>216</v>
      </c>
      <c r="DC41" s="100"/>
      <c r="DD41" s="43"/>
      <c r="DE41" s="71">
        <v>1</v>
      </c>
      <c r="DF41" s="65">
        <f t="shared" si="79"/>
        <v>100</v>
      </c>
      <c r="DG41" s="79">
        <v>1.4</v>
      </c>
      <c r="DH41" s="45" t="s">
        <v>28</v>
      </c>
      <c r="DI41" s="65">
        <f>(DE41*DF41*DG41)</f>
        <v>140</v>
      </c>
      <c r="DJ41" s="80">
        <f t="shared" si="80"/>
        <v>700</v>
      </c>
      <c r="DK41" s="6"/>
      <c r="DL41" s="4"/>
      <c r="DM41" s="4"/>
      <c r="DN41" s="6"/>
      <c r="DO41" s="112" t="s">
        <v>430</v>
      </c>
      <c r="DP41" s="100"/>
      <c r="DQ41" s="43"/>
      <c r="DR41" s="71">
        <v>2</v>
      </c>
      <c r="DS41" s="65">
        <v>2</v>
      </c>
      <c r="DT41" s="79">
        <v>10.8</v>
      </c>
      <c r="DU41" s="45" t="s">
        <v>28</v>
      </c>
      <c r="DV41" s="65">
        <f>(DR41*DS41*DT41)</f>
        <v>43.2</v>
      </c>
      <c r="DW41" s="80">
        <f aca="true" t="shared" si="84" ref="DW41:DW48">(DV41/$BF$2)*1000</f>
        <v>216.00000000000003</v>
      </c>
      <c r="DX41" s="45"/>
      <c r="DY41" s="43"/>
      <c r="DZ41" s="4"/>
      <c r="EA41" s="6"/>
      <c r="EB41" s="59"/>
      <c r="EC41" s="43"/>
      <c r="ED41" s="43"/>
      <c r="EE41" s="71"/>
      <c r="EF41" s="65"/>
      <c r="EG41" s="79"/>
      <c r="EH41" s="45"/>
      <c r="EI41" s="65">
        <f t="shared" si="23"/>
        <v>0</v>
      </c>
      <c r="EJ41" s="106">
        <f t="shared" si="24"/>
        <v>0</v>
      </c>
      <c r="EK41" s="45"/>
      <c r="EL41" s="46"/>
      <c r="EM41" s="43"/>
      <c r="EN41" s="70"/>
      <c r="EO41" s="47" t="s">
        <v>535</v>
      </c>
      <c r="EP41" s="43"/>
      <c r="EQ41" s="43"/>
      <c r="ER41" s="71"/>
      <c r="ES41" s="65"/>
      <c r="ET41" s="79"/>
      <c r="EU41" s="45" t="s">
        <v>28</v>
      </c>
      <c r="EV41" s="65"/>
      <c r="EW41" s="80"/>
      <c r="EX41" s="45"/>
      <c r="EY41" s="43"/>
      <c r="EZ41" s="43"/>
      <c r="FA41" s="58"/>
      <c r="FB41" s="70"/>
      <c r="FC41" s="99" t="s">
        <v>441</v>
      </c>
      <c r="FD41" s="100"/>
      <c r="FE41" s="100"/>
      <c r="FF41" s="71"/>
      <c r="FG41" s="65"/>
      <c r="FH41" s="79">
        <v>390</v>
      </c>
      <c r="FI41" s="45" t="s">
        <v>28</v>
      </c>
      <c r="FJ41" s="65">
        <f t="shared" si="72"/>
        <v>0</v>
      </c>
      <c r="FK41" s="80">
        <f t="shared" si="73"/>
        <v>0</v>
      </c>
      <c r="FL41" s="6"/>
      <c r="FM41" s="4"/>
      <c r="FN41" s="416"/>
      <c r="FO41" s="70"/>
      <c r="FP41" s="99" t="s">
        <v>536</v>
      </c>
      <c r="FQ41" s="100"/>
      <c r="FR41" s="100"/>
      <c r="FS41" s="71">
        <v>0</v>
      </c>
      <c r="FT41" s="65">
        <v>1</v>
      </c>
      <c r="FU41" s="79">
        <v>390</v>
      </c>
      <c r="FV41" s="45" t="s">
        <v>28</v>
      </c>
      <c r="FW41" s="65">
        <f>(FS41*FT41*FU41)</f>
        <v>0</v>
      </c>
      <c r="FX41" s="80">
        <f>(FW41/$BF$2)*1000</f>
        <v>0</v>
      </c>
      <c r="FY41" s="45"/>
      <c r="FZ41" s="4"/>
      <c r="GA41" s="421"/>
      <c r="GB41" s="70"/>
      <c r="GC41" s="43"/>
      <c r="GD41" s="43"/>
      <c r="GE41" s="43"/>
      <c r="GF41" s="71"/>
      <c r="GG41" s="65"/>
      <c r="GH41" s="79"/>
      <c r="GI41" s="45" t="s">
        <v>28</v>
      </c>
      <c r="GJ41" s="65">
        <f t="shared" si="60"/>
        <v>0</v>
      </c>
      <c r="GK41" s="80">
        <f t="shared" si="61"/>
        <v>0</v>
      </c>
      <c r="GL41" s="6"/>
      <c r="GM41" s="4"/>
      <c r="GN41" s="417"/>
      <c r="GO41" s="70"/>
      <c r="GP41" s="100"/>
      <c r="GQ41" s="100"/>
      <c r="GR41" s="43"/>
      <c r="GS41" s="43"/>
      <c r="GT41" s="43"/>
      <c r="GU41" s="43"/>
      <c r="GV41" s="45" t="s">
        <v>28</v>
      </c>
      <c r="GW41" s="43"/>
      <c r="GX41" s="106"/>
      <c r="GY41" s="94"/>
      <c r="GZ41" s="13"/>
      <c r="HA41" s="416"/>
      <c r="HB41" s="70"/>
      <c r="HC41" s="99" t="s">
        <v>193</v>
      </c>
      <c r="HD41" s="100"/>
      <c r="HE41" s="100"/>
      <c r="HF41" s="65">
        <v>6</v>
      </c>
      <c r="HG41" s="65">
        <v>2</v>
      </c>
      <c r="HH41" s="141">
        <v>7.875</v>
      </c>
      <c r="HI41" s="45" t="s">
        <v>28</v>
      </c>
      <c r="HJ41" s="65">
        <f aca="true" t="shared" si="85" ref="HJ41:HJ53">IF(HG41&lt;=3,HM41,HM41*1.3)+IF($HJ$8=0,0,HM41*1.15)+IF($HJ$9=0,0,HM41*1.4)+IF($HJ$7=0,0,HM41*1.1)+IF($HJ$6=0,0,HM41*1.5)</f>
        <v>226.79999999999998</v>
      </c>
      <c r="HK41" s="80">
        <f aca="true" t="shared" si="86" ref="HK41:HK53">(HJ41/$BF$2)*1000</f>
        <v>1134</v>
      </c>
      <c r="HL41" s="6"/>
      <c r="HM41" s="13">
        <f aca="true" t="shared" si="87" ref="HM41:HM47">(HF41*HG41*HH41)</f>
        <v>94.5</v>
      </c>
      <c r="HN41" s="417"/>
      <c r="HO41" s="70"/>
      <c r="HP41" s="100"/>
      <c r="HQ41" s="100"/>
      <c r="HR41" s="100"/>
      <c r="HS41" s="65"/>
      <c r="HT41" s="65"/>
      <c r="HU41" s="141"/>
      <c r="HV41" s="45" t="s">
        <v>28</v>
      </c>
      <c r="HW41" s="108">
        <f t="shared" si="10"/>
        <v>0</v>
      </c>
      <c r="HX41" s="107">
        <f t="shared" si="14"/>
        <v>0</v>
      </c>
      <c r="HY41" s="94"/>
      <c r="HZ41" s="4"/>
      <c r="IA41" s="70"/>
      <c r="IB41" s="112" t="s">
        <v>537</v>
      </c>
      <c r="IC41" s="100"/>
      <c r="ID41" s="100"/>
      <c r="IE41" s="65">
        <v>1</v>
      </c>
      <c r="IF41" s="65">
        <v>2</v>
      </c>
      <c r="IG41" s="79">
        <v>150</v>
      </c>
      <c r="IH41" s="45" t="s">
        <v>28</v>
      </c>
      <c r="II41" s="65">
        <f t="shared" si="81"/>
        <v>300</v>
      </c>
      <c r="IJ41" s="106">
        <f t="shared" si="78"/>
        <v>1500</v>
      </c>
      <c r="IK41" s="94"/>
      <c r="IL41" s="11">
        <f t="shared" si="44"/>
        <v>0</v>
      </c>
      <c r="IM41" s="13">
        <f t="shared" si="1"/>
        <v>0</v>
      </c>
      <c r="IN41" s="13"/>
      <c r="IO41" s="13"/>
      <c r="IP41" s="13">
        <f t="shared" si="4"/>
        <v>0</v>
      </c>
      <c r="IQ41" s="11">
        <f t="shared" si="5"/>
        <v>600</v>
      </c>
      <c r="IR41" s="11">
        <f t="shared" si="6"/>
        <v>480</v>
      </c>
      <c r="IS41" s="4"/>
      <c r="IT41" s="4"/>
      <c r="IU41" s="6" t="s">
        <v>28</v>
      </c>
      <c r="IV41" s="13">
        <f>(IF41*IG41)</f>
        <v>300</v>
      </c>
    </row>
    <row r="42" spans="1:256" ht="12.75">
      <c r="A42" s="225"/>
      <c r="B42" s="204"/>
      <c r="C42" s="245"/>
      <c r="D42" s="74"/>
      <c r="E42" s="74"/>
      <c r="F42" s="74"/>
      <c r="G42" s="205"/>
      <c r="H42" s="205"/>
      <c r="I42" s="548" t="s">
        <v>538</v>
      </c>
      <c r="J42" s="549"/>
      <c r="K42" s="550"/>
      <c r="L42" s="205"/>
      <c r="M42" s="205"/>
      <c r="N42" s="205"/>
      <c r="O42" s="208"/>
      <c r="P42" s="207"/>
      <c r="Q42" s="208"/>
      <c r="R42" s="209"/>
      <c r="S42" s="59"/>
      <c r="T42" s="44" t="s">
        <v>539</v>
      </c>
      <c r="U42" s="43"/>
      <c r="V42" s="43"/>
      <c r="W42" s="43"/>
      <c r="X42" s="43"/>
      <c r="Y42" s="62">
        <f>6000*BD2/1000</f>
        <v>1200</v>
      </c>
      <c r="Z42" s="63">
        <f t="shared" si="74"/>
        <v>0</v>
      </c>
      <c r="AA42" s="6"/>
      <c r="AB42" s="59"/>
      <c r="AC42" s="70"/>
      <c r="AD42" s="43"/>
      <c r="AE42" s="43"/>
      <c r="AF42" s="43"/>
      <c r="AG42" s="43"/>
      <c r="AH42" s="43"/>
      <c r="AI42" s="43"/>
      <c r="AJ42" s="65"/>
      <c r="AK42" s="266"/>
      <c r="AL42" s="45"/>
      <c r="AM42" s="43"/>
      <c r="AN42" s="70"/>
      <c r="AO42" s="43"/>
      <c r="AP42" s="43"/>
      <c r="AQ42" s="43"/>
      <c r="AR42" s="44" t="s">
        <v>540</v>
      </c>
      <c r="AS42" s="43"/>
      <c r="AT42" s="310">
        <f>(IF83+IF77)</f>
        <v>6500</v>
      </c>
      <c r="AU42" s="60" t="s">
        <v>513</v>
      </c>
      <c r="AV42" s="43"/>
      <c r="AW42" s="94"/>
      <c r="AX42" s="46"/>
      <c r="AY42" s="43"/>
      <c r="AZ42" s="43"/>
      <c r="BA42" s="70"/>
      <c r="BB42" s="99" t="s">
        <v>541</v>
      </c>
      <c r="BC42" s="100"/>
      <c r="BD42" s="100"/>
      <c r="BE42" s="71">
        <v>1</v>
      </c>
      <c r="BF42" s="325">
        <f>(BD4)</f>
        <v>15</v>
      </c>
      <c r="BG42" s="79">
        <v>9.5</v>
      </c>
      <c r="BH42" s="45" t="s">
        <v>28</v>
      </c>
      <c r="BI42" s="65">
        <f t="shared" si="40"/>
        <v>142.5</v>
      </c>
      <c r="BJ42" s="80">
        <f t="shared" si="36"/>
        <v>712.5</v>
      </c>
      <c r="BK42" s="45"/>
      <c r="BL42" s="43"/>
      <c r="BM42" s="58"/>
      <c r="BN42" s="70"/>
      <c r="BO42" s="99" t="s">
        <v>326</v>
      </c>
      <c r="BP42" s="100"/>
      <c r="BQ42" s="43"/>
      <c r="BR42" s="71">
        <v>3</v>
      </c>
      <c r="BS42" s="65">
        <f t="shared" si="75"/>
        <v>0</v>
      </c>
      <c r="BT42" s="79">
        <v>0.123</v>
      </c>
      <c r="BU42" s="45" t="s">
        <v>28</v>
      </c>
      <c r="BV42" s="65">
        <f t="shared" si="76"/>
        <v>0</v>
      </c>
      <c r="BW42" s="80">
        <f t="shared" si="77"/>
        <v>0</v>
      </c>
      <c r="BX42" s="6"/>
      <c r="BY42" s="4"/>
      <c r="BZ42" s="4"/>
      <c r="CA42" s="6"/>
      <c r="CB42" s="112" t="s">
        <v>197</v>
      </c>
      <c r="CC42" s="100"/>
      <c r="CD42" s="43"/>
      <c r="CE42" s="71"/>
      <c r="CF42" s="65"/>
      <c r="CG42" s="79">
        <v>14.52</v>
      </c>
      <c r="CH42" s="45" t="s">
        <v>28</v>
      </c>
      <c r="CI42" s="65">
        <f t="shared" si="15"/>
        <v>0</v>
      </c>
      <c r="CJ42" s="80">
        <f t="shared" si="83"/>
        <v>0</v>
      </c>
      <c r="CK42" s="6"/>
      <c r="CL42" s="4"/>
      <c r="CM42" s="11"/>
      <c r="CN42" s="6"/>
      <c r="CO42" s="112" t="s">
        <v>542</v>
      </c>
      <c r="CP42" s="100"/>
      <c r="CQ42" s="100"/>
      <c r="CR42" s="71">
        <v>1</v>
      </c>
      <c r="CS42" s="65"/>
      <c r="CT42" s="79">
        <v>33</v>
      </c>
      <c r="CU42" s="45" t="s">
        <v>28</v>
      </c>
      <c r="CV42" s="65">
        <f t="shared" si="82"/>
        <v>33</v>
      </c>
      <c r="CW42" s="80">
        <f aca="true" t="shared" si="88" ref="CW42:CW47">(CV42/$BF$2)*1000</f>
        <v>165</v>
      </c>
      <c r="CX42" s="6"/>
      <c r="CY42" s="4"/>
      <c r="CZ42" s="11"/>
      <c r="DA42" s="6"/>
      <c r="DB42" s="112" t="s">
        <v>234</v>
      </c>
      <c r="DC42" s="100"/>
      <c r="DD42" s="43"/>
      <c r="DE42" s="71">
        <v>0</v>
      </c>
      <c r="DF42" s="65">
        <f t="shared" si="79"/>
        <v>100</v>
      </c>
      <c r="DG42" s="79">
        <v>0.225</v>
      </c>
      <c r="DH42" s="45" t="s">
        <v>28</v>
      </c>
      <c r="DI42" s="65">
        <f>(DE42*DF42*DG42)</f>
        <v>0</v>
      </c>
      <c r="DJ42" s="80">
        <f t="shared" si="80"/>
        <v>0</v>
      </c>
      <c r="DK42" s="6"/>
      <c r="DL42" s="4"/>
      <c r="DM42" s="4"/>
      <c r="DN42" s="6"/>
      <c r="DO42" s="112" t="s">
        <v>220</v>
      </c>
      <c r="DP42" s="100"/>
      <c r="DQ42" s="43"/>
      <c r="DR42" s="71">
        <v>0</v>
      </c>
      <c r="DS42" s="65">
        <v>2</v>
      </c>
      <c r="DT42" s="79">
        <v>350</v>
      </c>
      <c r="DU42" s="45" t="s">
        <v>28</v>
      </c>
      <c r="DV42" s="65">
        <f>(DR42*DS42*DT42)</f>
        <v>0</v>
      </c>
      <c r="DW42" s="80">
        <f t="shared" si="84"/>
        <v>0</v>
      </c>
      <c r="DX42" s="45"/>
      <c r="DY42" s="43"/>
      <c r="DZ42" s="4"/>
      <c r="EA42" s="6"/>
      <c r="EB42" s="59"/>
      <c r="EC42" s="43"/>
      <c r="ED42" s="43"/>
      <c r="EE42" s="71"/>
      <c r="EF42" s="65"/>
      <c r="EG42" s="79"/>
      <c r="EH42" s="45"/>
      <c r="EI42" s="65">
        <f t="shared" si="23"/>
        <v>0</v>
      </c>
      <c r="EJ42" s="106">
        <f t="shared" si="24"/>
        <v>0</v>
      </c>
      <c r="EK42" s="45"/>
      <c r="EL42" s="46"/>
      <c r="EM42" s="43"/>
      <c r="EN42" s="70"/>
      <c r="EO42" s="99" t="s">
        <v>543</v>
      </c>
      <c r="EP42" s="100"/>
      <c r="EQ42" s="100" t="s">
        <v>544</v>
      </c>
      <c r="ER42" s="71">
        <v>1</v>
      </c>
      <c r="ES42" s="65">
        <v>2</v>
      </c>
      <c r="ET42" s="79">
        <v>60</v>
      </c>
      <c r="EU42" s="45" t="s">
        <v>28</v>
      </c>
      <c r="EV42" s="65">
        <f aca="true" t="shared" si="89" ref="EV42:EV52">(ER42*ES42*ET42)</f>
        <v>120</v>
      </c>
      <c r="EW42" s="80">
        <f aca="true" t="shared" si="90" ref="EW42:EW52">(EV42/$BF$2)*1000</f>
        <v>600</v>
      </c>
      <c r="EX42" s="45"/>
      <c r="EY42" s="43"/>
      <c r="EZ42" s="43"/>
      <c r="FA42" s="58"/>
      <c r="FB42" s="70"/>
      <c r="FC42" s="152" t="s">
        <v>545</v>
      </c>
      <c r="FD42" s="138"/>
      <c r="FE42" s="138"/>
      <c r="FF42" s="71"/>
      <c r="FG42" s="65"/>
      <c r="FH42" s="79"/>
      <c r="FI42" s="43"/>
      <c r="FJ42" s="65"/>
      <c r="FK42" s="80"/>
      <c r="FL42" s="6"/>
      <c r="FM42" s="4"/>
      <c r="FN42" s="417"/>
      <c r="FO42" s="70"/>
      <c r="FP42" s="100"/>
      <c r="FQ42" s="100"/>
      <c r="FR42" s="100"/>
      <c r="FS42" s="71"/>
      <c r="FT42" s="65"/>
      <c r="FU42" s="79"/>
      <c r="FV42" s="45" t="s">
        <v>28</v>
      </c>
      <c r="FW42" s="43"/>
      <c r="FX42" s="80"/>
      <c r="FY42" s="45"/>
      <c r="FZ42" s="4"/>
      <c r="GA42" s="421"/>
      <c r="GB42" s="70"/>
      <c r="GC42" s="43"/>
      <c r="GD42" s="43"/>
      <c r="GE42" s="43"/>
      <c r="GF42" s="71"/>
      <c r="GG42" s="65"/>
      <c r="GH42" s="79"/>
      <c r="GI42" s="45" t="s">
        <v>28</v>
      </c>
      <c r="GJ42" s="65">
        <f t="shared" si="60"/>
        <v>0</v>
      </c>
      <c r="GK42" s="80">
        <f t="shared" si="61"/>
        <v>0</v>
      </c>
      <c r="GL42" s="6"/>
      <c r="GM42" s="4"/>
      <c r="GN42" s="417"/>
      <c r="GO42" s="70"/>
      <c r="GP42" s="99" t="s">
        <v>546</v>
      </c>
      <c r="GQ42" s="100"/>
      <c r="GR42" s="43"/>
      <c r="GS42" s="58">
        <v>0</v>
      </c>
      <c r="GT42" s="43"/>
      <c r="GU42" s="43"/>
      <c r="GV42" s="45" t="s">
        <v>28</v>
      </c>
      <c r="GW42" s="43"/>
      <c r="GX42" s="106"/>
      <c r="GY42" s="94"/>
      <c r="GZ42" s="13">
        <f aca="true" t="shared" si="91" ref="GZ42:GZ47">(GS33*GT33*GU33*$GW$8)*1000</f>
        <v>0</v>
      </c>
      <c r="HA42" s="416"/>
      <c r="HB42" s="70"/>
      <c r="HC42" s="99" t="s">
        <v>207</v>
      </c>
      <c r="HD42" s="100"/>
      <c r="HE42" s="100"/>
      <c r="HF42" s="65">
        <v>8</v>
      </c>
      <c r="HG42" s="65">
        <v>3</v>
      </c>
      <c r="HH42" s="141">
        <v>13.125</v>
      </c>
      <c r="HI42" s="43"/>
      <c r="HJ42" s="65">
        <f t="shared" si="85"/>
        <v>756</v>
      </c>
      <c r="HK42" s="80">
        <f t="shared" si="86"/>
        <v>3780</v>
      </c>
      <c r="HL42" s="6"/>
      <c r="HM42" s="13">
        <f t="shared" si="87"/>
        <v>315</v>
      </c>
      <c r="HN42" s="417"/>
      <c r="HO42" s="70"/>
      <c r="HP42" s="100"/>
      <c r="HQ42" s="100"/>
      <c r="HR42" s="100"/>
      <c r="HS42" s="65"/>
      <c r="HT42" s="65"/>
      <c r="HU42" s="141"/>
      <c r="HV42" s="45" t="s">
        <v>28</v>
      </c>
      <c r="HW42" s="108">
        <f t="shared" si="10"/>
        <v>0</v>
      </c>
      <c r="HX42" s="107">
        <f t="shared" si="14"/>
        <v>0</v>
      </c>
      <c r="HY42" s="94"/>
      <c r="HZ42" s="4"/>
      <c r="IA42" s="70"/>
      <c r="IB42" s="112" t="s">
        <v>547</v>
      </c>
      <c r="IC42" s="100"/>
      <c r="ID42" s="100"/>
      <c r="IE42" s="65">
        <v>0</v>
      </c>
      <c r="IF42" s="65">
        <v>0</v>
      </c>
      <c r="IG42" s="79">
        <v>250</v>
      </c>
      <c r="IH42" s="45" t="s">
        <v>28</v>
      </c>
      <c r="II42" s="65">
        <f t="shared" si="81"/>
        <v>0</v>
      </c>
      <c r="IJ42" s="106">
        <f t="shared" si="78"/>
        <v>0</v>
      </c>
      <c r="IK42" s="94"/>
      <c r="IL42" s="4"/>
      <c r="IM42" s="13"/>
      <c r="IN42" s="13"/>
      <c r="IO42" s="13"/>
      <c r="IP42" s="13">
        <f t="shared" si="4"/>
        <v>0</v>
      </c>
      <c r="IQ42" s="11">
        <f t="shared" si="5"/>
        <v>240</v>
      </c>
      <c r="IR42" s="11">
        <f t="shared" si="6"/>
        <v>400</v>
      </c>
      <c r="IS42" s="4"/>
      <c r="IT42" s="4"/>
      <c r="IU42" s="6" t="s">
        <v>28</v>
      </c>
      <c r="IV42" s="13">
        <f aca="true" t="shared" si="92" ref="IV42:IV49">(IF41*IG41)</f>
        <v>300</v>
      </c>
    </row>
    <row r="43" spans="1:256" ht="12.75">
      <c r="A43" s="225"/>
      <c r="B43" s="204"/>
      <c r="C43" s="245"/>
      <c r="D43" s="74"/>
      <c r="E43" s="74"/>
      <c r="F43" s="74"/>
      <c r="G43" s="205"/>
      <c r="H43" s="205"/>
      <c r="I43" s="551" t="s">
        <v>548</v>
      </c>
      <c r="J43" s="552"/>
      <c r="K43" s="553"/>
      <c r="L43" s="205"/>
      <c r="M43" s="205"/>
      <c r="N43" s="205"/>
      <c r="O43" s="208"/>
      <c r="P43" s="207"/>
      <c r="Q43" s="208"/>
      <c r="R43" s="209"/>
      <c r="S43" s="59"/>
      <c r="T43" s="43"/>
      <c r="U43" s="43"/>
      <c r="V43" s="43"/>
      <c r="W43" s="43"/>
      <c r="X43" s="43"/>
      <c r="Y43" s="36"/>
      <c r="Z43" s="46"/>
      <c r="AA43" s="6"/>
      <c r="AB43" s="59"/>
      <c r="AC43" s="70"/>
      <c r="AD43" s="43"/>
      <c r="AE43" s="43"/>
      <c r="AF43" s="43"/>
      <c r="AG43" s="57" t="s">
        <v>549</v>
      </c>
      <c r="AH43" s="387">
        <f>SUM(AH9:AH41)</f>
        <v>40405.53609728</v>
      </c>
      <c r="AI43" s="388">
        <f>SUM(AI9:AI41)</f>
        <v>15785.46</v>
      </c>
      <c r="AJ43" s="387">
        <f>SUM(AJ9:AJ41)</f>
        <v>56190.996097279996</v>
      </c>
      <c r="AK43" s="389" t="s">
        <v>0</v>
      </c>
      <c r="AL43" s="45"/>
      <c r="AM43" s="43"/>
      <c r="AN43" s="70"/>
      <c r="AO43" s="43"/>
      <c r="AP43" s="43"/>
      <c r="AQ43" s="43"/>
      <c r="AR43" s="44" t="s">
        <v>550</v>
      </c>
      <c r="AS43" s="43"/>
      <c r="AT43" s="311">
        <f>(IF93)</f>
        <v>365</v>
      </c>
      <c r="AU43" s="60" t="s">
        <v>513</v>
      </c>
      <c r="AV43" s="205"/>
      <c r="AW43" s="94"/>
      <c r="AX43" s="46"/>
      <c r="AY43" s="43"/>
      <c r="AZ43" s="43"/>
      <c r="BA43" s="70"/>
      <c r="BB43" s="99" t="s">
        <v>551</v>
      </c>
      <c r="BC43" s="100"/>
      <c r="BD43" s="100"/>
      <c r="BE43" s="71"/>
      <c r="BF43" s="65"/>
      <c r="BG43" s="79">
        <v>15.75</v>
      </c>
      <c r="BH43" s="45" t="s">
        <v>28</v>
      </c>
      <c r="BI43" s="65">
        <f t="shared" si="40"/>
        <v>0</v>
      </c>
      <c r="BJ43" s="80">
        <f t="shared" si="36"/>
        <v>0</v>
      </c>
      <c r="BK43" s="45"/>
      <c r="BL43" s="43"/>
      <c r="BM43" s="58"/>
      <c r="BN43" s="70"/>
      <c r="BO43" s="99" t="s">
        <v>345</v>
      </c>
      <c r="BP43" s="100"/>
      <c r="BQ43" s="43"/>
      <c r="BR43" s="71">
        <v>3</v>
      </c>
      <c r="BS43" s="65">
        <f t="shared" si="75"/>
        <v>0</v>
      </c>
      <c r="BT43" s="79">
        <f>$BT$12</f>
        <v>2.5</v>
      </c>
      <c r="BU43" s="45" t="s">
        <v>28</v>
      </c>
      <c r="BV43" s="65">
        <f>(BR43*(BS43/5)*BT43)+(BR41*BS41/5*BT41)</f>
        <v>0</v>
      </c>
      <c r="BW43" s="80">
        <f t="shared" si="77"/>
        <v>0</v>
      </c>
      <c r="BX43" s="6"/>
      <c r="BY43" s="11">
        <f>(BR43*BS43/5+BR41*BS41/5)</f>
        <v>0</v>
      </c>
      <c r="BZ43" s="4"/>
      <c r="CA43" s="6"/>
      <c r="CB43" s="112" t="s">
        <v>214</v>
      </c>
      <c r="CC43" s="100"/>
      <c r="CD43" s="43"/>
      <c r="CE43" s="71"/>
      <c r="CF43" s="65"/>
      <c r="CG43" s="79">
        <v>20.02</v>
      </c>
      <c r="CH43" s="45" t="s">
        <v>28</v>
      </c>
      <c r="CI43" s="65">
        <f t="shared" si="15"/>
        <v>0</v>
      </c>
      <c r="CJ43" s="80">
        <f t="shared" si="83"/>
        <v>0</v>
      </c>
      <c r="CK43" s="6"/>
      <c r="CL43" s="4"/>
      <c r="CM43" s="11"/>
      <c r="CN43" s="6"/>
      <c r="CO43" s="112" t="s">
        <v>552</v>
      </c>
      <c r="CP43" s="100"/>
      <c r="CQ43" s="100"/>
      <c r="CR43" s="71">
        <v>1</v>
      </c>
      <c r="CS43" s="65"/>
      <c r="CT43" s="79">
        <v>660</v>
      </c>
      <c r="CU43" s="45" t="s">
        <v>28</v>
      </c>
      <c r="CV43" s="65">
        <f t="shared" si="82"/>
        <v>660</v>
      </c>
      <c r="CW43" s="80">
        <f t="shared" si="88"/>
        <v>3300</v>
      </c>
      <c r="CX43" s="6"/>
      <c r="CY43" s="4"/>
      <c r="CZ43" s="11"/>
      <c r="DA43" s="6"/>
      <c r="DB43" s="112" t="s">
        <v>253</v>
      </c>
      <c r="DC43" s="100"/>
      <c r="DD43" s="43"/>
      <c r="DE43" s="71">
        <v>4</v>
      </c>
      <c r="DF43" s="65">
        <f t="shared" si="79"/>
        <v>100</v>
      </c>
      <c r="DG43" s="79">
        <v>0.05</v>
      </c>
      <c r="DH43" s="45" t="s">
        <v>28</v>
      </c>
      <c r="DI43" s="65">
        <f>(DE43*DF43*DG43)</f>
        <v>20</v>
      </c>
      <c r="DJ43" s="80">
        <f t="shared" si="80"/>
        <v>100</v>
      </c>
      <c r="DK43" s="6"/>
      <c r="DL43" s="4"/>
      <c r="DM43" s="4"/>
      <c r="DN43" s="6"/>
      <c r="DO43" s="112" t="s">
        <v>449</v>
      </c>
      <c r="DP43" s="100"/>
      <c r="DQ43" s="43"/>
      <c r="DR43" s="71">
        <v>2</v>
      </c>
      <c r="DS43" s="65">
        <v>2</v>
      </c>
      <c r="DT43" s="79">
        <v>42</v>
      </c>
      <c r="DU43" s="45" t="s">
        <v>28</v>
      </c>
      <c r="DV43" s="65">
        <f>(DR43*DS43*DT43)</f>
        <v>168</v>
      </c>
      <c r="DW43" s="80">
        <f t="shared" si="84"/>
        <v>840</v>
      </c>
      <c r="DX43" s="45"/>
      <c r="DY43" s="43"/>
      <c r="DZ43" s="4"/>
      <c r="EA43" s="6"/>
      <c r="EB43" s="59"/>
      <c r="EC43" s="43"/>
      <c r="ED43" s="43"/>
      <c r="EE43" s="71"/>
      <c r="EF43" s="65"/>
      <c r="EG43" s="79"/>
      <c r="EH43" s="45"/>
      <c r="EI43" s="65">
        <f t="shared" si="23"/>
        <v>0</v>
      </c>
      <c r="EJ43" s="106">
        <f t="shared" si="24"/>
        <v>0</v>
      </c>
      <c r="EK43" s="45"/>
      <c r="EL43" s="46"/>
      <c r="EM43" s="43"/>
      <c r="EN43" s="70"/>
      <c r="EO43" s="99" t="s">
        <v>553</v>
      </c>
      <c r="EP43" s="100"/>
      <c r="EQ43" s="100" t="s">
        <v>554</v>
      </c>
      <c r="ER43" s="71">
        <v>1</v>
      </c>
      <c r="ES43" s="65">
        <v>2</v>
      </c>
      <c r="ET43" s="79">
        <v>90</v>
      </c>
      <c r="EU43" s="45" t="s">
        <v>28</v>
      </c>
      <c r="EV43" s="65">
        <f t="shared" si="89"/>
        <v>180</v>
      </c>
      <c r="EW43" s="80">
        <f t="shared" si="90"/>
        <v>900</v>
      </c>
      <c r="EX43" s="45"/>
      <c r="EY43" s="43"/>
      <c r="EZ43" s="43"/>
      <c r="FA43" s="58"/>
      <c r="FB43" s="70"/>
      <c r="FC43" s="99" t="s">
        <v>555</v>
      </c>
      <c r="FD43" s="100"/>
      <c r="FE43" s="100"/>
      <c r="FF43" s="71">
        <v>1</v>
      </c>
      <c r="FG43" s="65">
        <v>2</v>
      </c>
      <c r="FH43" s="79">
        <v>230</v>
      </c>
      <c r="FI43" s="45" t="s">
        <v>28</v>
      </c>
      <c r="FJ43" s="65">
        <f aca="true" t="shared" si="93" ref="FJ43:FJ53">(FF43*FG43*FH43)</f>
        <v>460</v>
      </c>
      <c r="FK43" s="80">
        <f aca="true" t="shared" si="94" ref="FK43:FK53">(FJ43/$BF$2)*1000</f>
        <v>2300</v>
      </c>
      <c r="FL43" s="6"/>
      <c r="FM43" s="4"/>
      <c r="FN43" s="417"/>
      <c r="FO43" s="70"/>
      <c r="FP43" s="100"/>
      <c r="FQ43" s="100"/>
      <c r="FR43" s="100"/>
      <c r="FS43" s="71"/>
      <c r="FT43" s="65"/>
      <c r="FU43" s="79"/>
      <c r="FV43" s="45" t="s">
        <v>28</v>
      </c>
      <c r="FW43" s="43"/>
      <c r="FX43" s="80"/>
      <c r="FY43" s="45"/>
      <c r="FZ43" s="4"/>
      <c r="GA43" s="421"/>
      <c r="GB43" s="70"/>
      <c r="GC43" s="43"/>
      <c r="GD43" s="43"/>
      <c r="GE43" s="43"/>
      <c r="GF43" s="71"/>
      <c r="GG43" s="65"/>
      <c r="GH43" s="79"/>
      <c r="GI43" s="45" t="s">
        <v>28</v>
      </c>
      <c r="GJ43" s="65">
        <f t="shared" si="60"/>
        <v>0</v>
      </c>
      <c r="GK43" s="80">
        <f t="shared" si="61"/>
        <v>0</v>
      </c>
      <c r="GL43" s="6"/>
      <c r="GM43" s="4"/>
      <c r="GN43" s="417"/>
      <c r="GO43" s="70"/>
      <c r="GP43" s="99" t="s">
        <v>556</v>
      </c>
      <c r="GQ43" s="100"/>
      <c r="GR43" s="43"/>
      <c r="GS43" s="58">
        <v>0</v>
      </c>
      <c r="GT43" s="43"/>
      <c r="GU43" s="43"/>
      <c r="GV43" s="45" t="s">
        <v>28</v>
      </c>
      <c r="GW43" s="43"/>
      <c r="GX43" s="106"/>
      <c r="GY43" s="94"/>
      <c r="GZ43" s="13">
        <f t="shared" si="91"/>
        <v>0</v>
      </c>
      <c r="HA43" s="416"/>
      <c r="HB43" s="70"/>
      <c r="HC43" s="99" t="s">
        <v>223</v>
      </c>
      <c r="HD43" s="100"/>
      <c r="HE43" s="100"/>
      <c r="HF43" s="65"/>
      <c r="HG43" s="65"/>
      <c r="HH43" s="141">
        <v>19.25</v>
      </c>
      <c r="HI43" s="45" t="s">
        <v>28</v>
      </c>
      <c r="HJ43" s="65">
        <f t="shared" si="85"/>
        <v>0</v>
      </c>
      <c r="HK43" s="80">
        <f t="shared" si="86"/>
        <v>0</v>
      </c>
      <c r="HL43" s="6"/>
      <c r="HM43" s="13">
        <f t="shared" si="87"/>
        <v>0</v>
      </c>
      <c r="HN43" s="417"/>
      <c r="HO43" s="70"/>
      <c r="HP43" s="100"/>
      <c r="HQ43" s="100"/>
      <c r="HR43" s="100"/>
      <c r="HS43" s="65"/>
      <c r="HT43" s="65"/>
      <c r="HU43" s="141"/>
      <c r="HV43" s="45" t="s">
        <v>28</v>
      </c>
      <c r="HW43" s="108">
        <f t="shared" si="10"/>
        <v>0</v>
      </c>
      <c r="HX43" s="107">
        <f t="shared" si="14"/>
        <v>0</v>
      </c>
      <c r="HY43" s="94"/>
      <c r="HZ43" s="4"/>
      <c r="IA43" s="70"/>
      <c r="IB43" s="112" t="s">
        <v>557</v>
      </c>
      <c r="IC43" s="100"/>
      <c r="ID43" s="100"/>
      <c r="IE43" s="65"/>
      <c r="IF43" s="65"/>
      <c r="IG43" s="79">
        <v>200</v>
      </c>
      <c r="IH43" s="45" t="s">
        <v>28</v>
      </c>
      <c r="II43" s="65">
        <f t="shared" si="81"/>
        <v>0</v>
      </c>
      <c r="IJ43" s="106">
        <f t="shared" si="78"/>
        <v>0</v>
      </c>
      <c r="IK43" s="94"/>
      <c r="IL43" s="4"/>
      <c r="IM43" s="13"/>
      <c r="IN43" s="13"/>
      <c r="IO43" s="13"/>
      <c r="IP43" s="13"/>
      <c r="IQ43" s="4"/>
      <c r="IR43" s="4"/>
      <c r="IS43" s="4"/>
      <c r="IT43" s="4"/>
      <c r="IU43" s="6" t="s">
        <v>28</v>
      </c>
      <c r="IV43" s="13">
        <f t="shared" si="92"/>
        <v>0</v>
      </c>
    </row>
    <row r="44" spans="1:256" ht="13.5" thickBot="1">
      <c r="A44" s="225"/>
      <c r="B44" s="204"/>
      <c r="C44" s="245"/>
      <c r="D44" s="74"/>
      <c r="E44" s="74"/>
      <c r="F44" s="74"/>
      <c r="G44" s="205"/>
      <c r="H44" s="205"/>
      <c r="I44" s="551" t="s">
        <v>558</v>
      </c>
      <c r="J44" s="552"/>
      <c r="K44" s="553"/>
      <c r="L44" s="205"/>
      <c r="M44" s="205"/>
      <c r="N44" s="205"/>
      <c r="O44" s="208"/>
      <c r="P44" s="207"/>
      <c r="Q44" s="208"/>
      <c r="R44" s="209"/>
      <c r="S44" s="59"/>
      <c r="T44" s="356" t="s">
        <v>559</v>
      </c>
      <c r="U44" s="357"/>
      <c r="V44" s="358"/>
      <c r="W44" s="43"/>
      <c r="X44" s="62"/>
      <c r="Y44" s="359">
        <f>SUM(Y45:Y47)</f>
        <v>3230</v>
      </c>
      <c r="Z44" s="63">
        <f>IF((X44)=0,0,(Y44-X44)/X44)</f>
        <v>0</v>
      </c>
      <c r="AA44" s="6"/>
      <c r="AB44" s="59"/>
      <c r="AC44" s="70"/>
      <c r="AD44" s="43"/>
      <c r="AE44" s="43"/>
      <c r="AF44" s="43"/>
      <c r="AG44" s="43"/>
      <c r="AH44" s="43"/>
      <c r="AI44" s="43"/>
      <c r="AJ44" s="43"/>
      <c r="AK44" s="266"/>
      <c r="AL44" s="45"/>
      <c r="AM44" s="65">
        <f>Y55-AJ69</f>
        <v>0</v>
      </c>
      <c r="AN44" s="70"/>
      <c r="AO44" s="43"/>
      <c r="AP44" s="43"/>
      <c r="AQ44" s="43"/>
      <c r="AR44" s="43"/>
      <c r="AS44" s="43"/>
      <c r="AT44" s="43"/>
      <c r="AU44" s="43"/>
      <c r="AV44" s="43"/>
      <c r="AW44" s="94"/>
      <c r="AX44" s="46"/>
      <c r="AY44" s="43"/>
      <c r="AZ44" s="43"/>
      <c r="BA44" s="70"/>
      <c r="BB44" s="99" t="s">
        <v>560</v>
      </c>
      <c r="BC44" s="100"/>
      <c r="BD44" s="100"/>
      <c r="BE44" s="71">
        <v>1</v>
      </c>
      <c r="BF44" s="65">
        <v>1</v>
      </c>
      <c r="BG44" s="79">
        <v>45</v>
      </c>
      <c r="BH44" s="45" t="s">
        <v>28</v>
      </c>
      <c r="BI44" s="65">
        <f t="shared" si="40"/>
        <v>45</v>
      </c>
      <c r="BJ44" s="80">
        <f t="shared" si="36"/>
        <v>225</v>
      </c>
      <c r="BK44" s="45"/>
      <c r="BL44" s="43"/>
      <c r="BM44" s="58"/>
      <c r="BN44" s="70"/>
      <c r="BO44" s="43"/>
      <c r="BP44" s="43"/>
      <c r="BQ44" s="43"/>
      <c r="BR44" s="71"/>
      <c r="BS44" s="65"/>
      <c r="BT44" s="79"/>
      <c r="BU44" s="45" t="s">
        <v>28</v>
      </c>
      <c r="BV44" s="65"/>
      <c r="BW44" s="80"/>
      <c r="BX44" s="6"/>
      <c r="BY44" s="4"/>
      <c r="BZ44" s="4"/>
      <c r="CA44" s="6"/>
      <c r="CB44" s="112" t="s">
        <v>232</v>
      </c>
      <c r="CC44" s="100"/>
      <c r="CD44" s="43"/>
      <c r="CE44" s="71"/>
      <c r="CF44" s="65"/>
      <c r="CG44" s="79">
        <v>25.3</v>
      </c>
      <c r="CH44" s="45" t="s">
        <v>28</v>
      </c>
      <c r="CI44" s="65">
        <f t="shared" si="15"/>
        <v>0</v>
      </c>
      <c r="CJ44" s="80">
        <f t="shared" si="83"/>
        <v>0</v>
      </c>
      <c r="CK44" s="6"/>
      <c r="CL44" s="4"/>
      <c r="CM44" s="11"/>
      <c r="CN44" s="6"/>
      <c r="CO44" s="112" t="s">
        <v>561</v>
      </c>
      <c r="CP44" s="100"/>
      <c r="CQ44" s="100"/>
      <c r="CR44" s="71">
        <v>1</v>
      </c>
      <c r="CS44" s="65"/>
      <c r="CT44" s="79">
        <v>800</v>
      </c>
      <c r="CU44" s="45" t="s">
        <v>28</v>
      </c>
      <c r="CV44" s="65">
        <f t="shared" si="82"/>
        <v>800</v>
      </c>
      <c r="CW44" s="80">
        <f t="shared" si="88"/>
        <v>4000</v>
      </c>
      <c r="CX44" s="6"/>
      <c r="CY44" s="4"/>
      <c r="CZ44" s="11"/>
      <c r="DA44" s="6"/>
      <c r="DB44" s="112" t="s">
        <v>267</v>
      </c>
      <c r="DC44" s="100"/>
      <c r="DD44" s="43"/>
      <c r="DE44" s="71">
        <v>4</v>
      </c>
      <c r="DF44" s="65">
        <f t="shared" si="79"/>
        <v>100</v>
      </c>
      <c r="DG44" s="79">
        <f>$DJ$8</f>
        <v>2</v>
      </c>
      <c r="DH44" s="45" t="s">
        <v>28</v>
      </c>
      <c r="DI44" s="65">
        <f>(DE44*(DF44/5)*DG44)</f>
        <v>160</v>
      </c>
      <c r="DJ44" s="80">
        <f t="shared" si="80"/>
        <v>800</v>
      </c>
      <c r="DK44" s="6"/>
      <c r="DL44" s="11">
        <f>(DE44*DF44/5)</f>
        <v>80</v>
      </c>
      <c r="DM44" s="4"/>
      <c r="DN44" s="6"/>
      <c r="DO44" s="112" t="s">
        <v>234</v>
      </c>
      <c r="DP44" s="100"/>
      <c r="DQ44" s="43"/>
      <c r="DR44" s="71">
        <v>0</v>
      </c>
      <c r="DS44" s="317">
        <f>DQ40</f>
        <v>20</v>
      </c>
      <c r="DT44" s="79">
        <v>1.25</v>
      </c>
      <c r="DU44" s="45" t="s">
        <v>28</v>
      </c>
      <c r="DV44" s="65">
        <f>(DR44*DS44*DT44)</f>
        <v>0</v>
      </c>
      <c r="DW44" s="80">
        <f t="shared" si="84"/>
        <v>0</v>
      </c>
      <c r="DX44" s="45"/>
      <c r="DY44" s="43"/>
      <c r="DZ44" s="4"/>
      <c r="EA44" s="6"/>
      <c r="EB44" s="59"/>
      <c r="EC44" s="43"/>
      <c r="ED44" s="43"/>
      <c r="EE44" s="71"/>
      <c r="EF44" s="65"/>
      <c r="EG44" s="79"/>
      <c r="EH44" s="45"/>
      <c r="EI44" s="65">
        <f t="shared" si="23"/>
        <v>0</v>
      </c>
      <c r="EJ44" s="106">
        <f t="shared" si="24"/>
        <v>0</v>
      </c>
      <c r="EK44" s="45"/>
      <c r="EL44" s="46"/>
      <c r="EM44" s="43"/>
      <c r="EN44" s="70"/>
      <c r="EO44" s="99" t="s">
        <v>562</v>
      </c>
      <c r="EP44" s="100"/>
      <c r="EQ44" s="100"/>
      <c r="ER44" s="71">
        <v>0</v>
      </c>
      <c r="ES44" s="65">
        <v>2</v>
      </c>
      <c r="ET44" s="79">
        <v>95</v>
      </c>
      <c r="EU44" s="45" t="s">
        <v>28</v>
      </c>
      <c r="EV44" s="65">
        <f t="shared" si="89"/>
        <v>0</v>
      </c>
      <c r="EW44" s="80">
        <f t="shared" si="90"/>
        <v>0</v>
      </c>
      <c r="EX44" s="45"/>
      <c r="EY44" s="43"/>
      <c r="EZ44" s="43"/>
      <c r="FA44" s="58"/>
      <c r="FB44" s="70"/>
      <c r="FC44" s="99" t="s">
        <v>563</v>
      </c>
      <c r="FD44" s="100"/>
      <c r="FE44" s="100"/>
      <c r="FF44" s="71"/>
      <c r="FG44" s="65"/>
      <c r="FH44" s="79">
        <v>270</v>
      </c>
      <c r="FI44" s="45" t="s">
        <v>28</v>
      </c>
      <c r="FJ44" s="65">
        <f t="shared" si="93"/>
        <v>0</v>
      </c>
      <c r="FK44" s="80">
        <f t="shared" si="94"/>
        <v>0</v>
      </c>
      <c r="FL44" s="6"/>
      <c r="FM44" s="4"/>
      <c r="FN44" s="417"/>
      <c r="FO44" s="70"/>
      <c r="FP44" s="100"/>
      <c r="FQ44" s="100"/>
      <c r="FR44" s="100"/>
      <c r="FS44" s="71"/>
      <c r="FT44" s="65"/>
      <c r="FU44" s="79"/>
      <c r="FV44" s="45" t="s">
        <v>28</v>
      </c>
      <c r="FW44" s="43"/>
      <c r="FX44" s="80"/>
      <c r="FY44" s="45"/>
      <c r="FZ44" s="4"/>
      <c r="GA44" s="421"/>
      <c r="GB44" s="70"/>
      <c r="GC44" s="43"/>
      <c r="GD44" s="43"/>
      <c r="GE44" s="43"/>
      <c r="GF44" s="71"/>
      <c r="GG44" s="65"/>
      <c r="GH44" s="79"/>
      <c r="GI44" s="45" t="s">
        <v>28</v>
      </c>
      <c r="GJ44" s="65">
        <f t="shared" si="60"/>
        <v>0</v>
      </c>
      <c r="GK44" s="80">
        <f t="shared" si="61"/>
        <v>0</v>
      </c>
      <c r="GL44" s="6"/>
      <c r="GM44" s="4"/>
      <c r="GN44" s="417"/>
      <c r="GO44" s="70"/>
      <c r="GP44" s="99" t="s">
        <v>564</v>
      </c>
      <c r="GQ44" s="100"/>
      <c r="GR44" s="43"/>
      <c r="GS44" s="58">
        <v>0</v>
      </c>
      <c r="GT44" s="43"/>
      <c r="GU44" s="43"/>
      <c r="GV44" s="45" t="s">
        <v>28</v>
      </c>
      <c r="GW44" s="43"/>
      <c r="GX44" s="106"/>
      <c r="GY44" s="94"/>
      <c r="GZ44" s="13">
        <f t="shared" si="91"/>
        <v>0</v>
      </c>
      <c r="HA44" s="416"/>
      <c r="HB44" s="70"/>
      <c r="HC44" s="99" t="s">
        <v>242</v>
      </c>
      <c r="HD44" s="100"/>
      <c r="HE44" s="100"/>
      <c r="HF44" s="65"/>
      <c r="HG44" s="65"/>
      <c r="HH44" s="141">
        <v>24.25</v>
      </c>
      <c r="HI44" s="45" t="s">
        <v>28</v>
      </c>
      <c r="HJ44" s="65">
        <f t="shared" si="85"/>
        <v>0</v>
      </c>
      <c r="HK44" s="80">
        <f t="shared" si="86"/>
        <v>0</v>
      </c>
      <c r="HL44" s="6"/>
      <c r="HM44" s="13">
        <f t="shared" si="87"/>
        <v>0</v>
      </c>
      <c r="HN44" s="417"/>
      <c r="HO44" s="70"/>
      <c r="HP44" s="47" t="s">
        <v>565</v>
      </c>
      <c r="HQ44" s="43"/>
      <c r="HR44" s="43"/>
      <c r="HS44" s="65"/>
      <c r="HT44" s="65"/>
      <c r="HU44" s="141"/>
      <c r="HV44" s="44" t="s">
        <v>0</v>
      </c>
      <c r="HW44" s="65"/>
      <c r="HX44" s="106"/>
      <c r="HY44" s="94"/>
      <c r="HZ44" s="4"/>
      <c r="IA44" s="70"/>
      <c r="IB44" s="112" t="s">
        <v>566</v>
      </c>
      <c r="IC44" s="100"/>
      <c r="ID44" s="100"/>
      <c r="IE44" s="65">
        <v>0</v>
      </c>
      <c r="IF44" s="65">
        <v>1</v>
      </c>
      <c r="IG44" s="79">
        <v>350</v>
      </c>
      <c r="IH44" s="45" t="s">
        <v>28</v>
      </c>
      <c r="II44" s="65">
        <f t="shared" si="81"/>
        <v>350</v>
      </c>
      <c r="IJ44" s="106">
        <f t="shared" si="78"/>
        <v>1750</v>
      </c>
      <c r="IK44" s="94"/>
      <c r="IL44" s="4"/>
      <c r="IM44" s="13"/>
      <c r="IN44" s="13"/>
      <c r="IO44" s="13"/>
      <c r="IP44" s="13"/>
      <c r="IQ44" s="4"/>
      <c r="IR44" s="4"/>
      <c r="IS44" s="4"/>
      <c r="IT44" s="4"/>
      <c r="IU44" s="6" t="s">
        <v>28</v>
      </c>
      <c r="IV44" s="13">
        <f t="shared" si="92"/>
        <v>0</v>
      </c>
    </row>
    <row r="45" spans="1:256" ht="13.5" thickBot="1">
      <c r="A45" s="225"/>
      <c r="B45" s="204"/>
      <c r="C45" s="245"/>
      <c r="D45" s="74"/>
      <c r="E45" s="74"/>
      <c r="F45" s="74"/>
      <c r="G45" s="205"/>
      <c r="H45" s="205"/>
      <c r="I45" s="554" t="s">
        <v>567</v>
      </c>
      <c r="J45" s="555"/>
      <c r="K45" s="556"/>
      <c r="L45" s="205"/>
      <c r="M45" s="205"/>
      <c r="N45" s="205"/>
      <c r="O45" s="208"/>
      <c r="P45" s="207"/>
      <c r="Q45" s="208"/>
      <c r="R45" s="209"/>
      <c r="S45" s="59"/>
      <c r="T45" s="44" t="s">
        <v>568</v>
      </c>
      <c r="U45" s="43"/>
      <c r="V45" s="43"/>
      <c r="W45" s="43"/>
      <c r="X45" s="65"/>
      <c r="Y45" s="62">
        <f>(AI41)</f>
        <v>2230</v>
      </c>
      <c r="Z45" s="63">
        <f>IF((X45)=0,0,(Y45-X45)/X45)</f>
        <v>0</v>
      </c>
      <c r="AA45" s="6"/>
      <c r="AB45" s="59"/>
      <c r="AC45" s="70"/>
      <c r="AD45" s="82"/>
      <c r="AE45" s="83"/>
      <c r="AF45" s="83"/>
      <c r="AG45" s="83"/>
      <c r="AH45" s="84"/>
      <c r="AI45" s="84"/>
      <c r="AJ45" s="84"/>
      <c r="AK45" s="90"/>
      <c r="AL45" s="262"/>
      <c r="AM45" s="138"/>
      <c r="AN45" s="405"/>
      <c r="AO45" s="360"/>
      <c r="AP45" s="360"/>
      <c r="AQ45" s="394" t="s">
        <v>569</v>
      </c>
      <c r="AR45" s="395"/>
      <c r="AS45" s="396"/>
      <c r="AT45" s="360"/>
      <c r="AU45" s="412">
        <v>2000</v>
      </c>
      <c r="AV45" s="397" t="s">
        <v>570</v>
      </c>
      <c r="AW45" s="398"/>
      <c r="AX45" s="407"/>
      <c r="AY45" s="43"/>
      <c r="AZ45" s="43"/>
      <c r="BA45" s="70"/>
      <c r="BB45" s="99" t="s">
        <v>571</v>
      </c>
      <c r="BC45" s="100"/>
      <c r="BD45" s="100"/>
      <c r="BE45" s="71">
        <v>1</v>
      </c>
      <c r="BF45" s="65">
        <v>1</v>
      </c>
      <c r="BG45" s="79">
        <v>12</v>
      </c>
      <c r="BH45" s="45" t="s">
        <v>28</v>
      </c>
      <c r="BI45" s="65">
        <f t="shared" si="40"/>
        <v>12</v>
      </c>
      <c r="BJ45" s="80">
        <f t="shared" si="36"/>
        <v>60</v>
      </c>
      <c r="BK45" s="45"/>
      <c r="BL45" s="43"/>
      <c r="BM45" s="58"/>
      <c r="BN45" s="70"/>
      <c r="BO45" s="47" t="s">
        <v>572</v>
      </c>
      <c r="BP45" s="43"/>
      <c r="BQ45" s="317">
        <f>($BV$10)</f>
        <v>385</v>
      </c>
      <c r="BR45" s="71"/>
      <c r="BS45" s="105" t="s">
        <v>72</v>
      </c>
      <c r="BT45" s="79"/>
      <c r="BU45" s="45" t="s">
        <v>28</v>
      </c>
      <c r="BV45" s="65"/>
      <c r="BW45" s="80"/>
      <c r="BX45" s="6"/>
      <c r="BY45" s="4"/>
      <c r="BZ45" s="4"/>
      <c r="CA45" s="6"/>
      <c r="CB45" s="112" t="s">
        <v>251</v>
      </c>
      <c r="CC45" s="100"/>
      <c r="CD45" s="43"/>
      <c r="CE45" s="71"/>
      <c r="CF45" s="65"/>
      <c r="CG45" s="79">
        <v>33</v>
      </c>
      <c r="CH45" s="45" t="s">
        <v>28</v>
      </c>
      <c r="CI45" s="65">
        <f t="shared" si="15"/>
        <v>0</v>
      </c>
      <c r="CJ45" s="80">
        <f t="shared" si="83"/>
        <v>0</v>
      </c>
      <c r="CK45" s="6"/>
      <c r="CL45" s="4"/>
      <c r="CM45" s="11"/>
      <c r="CN45" s="6"/>
      <c r="CO45" s="112" t="s">
        <v>573</v>
      </c>
      <c r="CP45" s="100"/>
      <c r="CQ45" s="100"/>
      <c r="CR45" s="71">
        <v>1</v>
      </c>
      <c r="CS45" s="65"/>
      <c r="CT45" s="79">
        <v>450</v>
      </c>
      <c r="CU45" s="45" t="s">
        <v>28</v>
      </c>
      <c r="CV45" s="65">
        <f t="shared" si="82"/>
        <v>450</v>
      </c>
      <c r="CW45" s="80">
        <f t="shared" si="88"/>
        <v>2250</v>
      </c>
      <c r="CX45" s="6"/>
      <c r="CY45" s="4"/>
      <c r="CZ45" s="11"/>
      <c r="DA45" s="6"/>
      <c r="DB45" s="59"/>
      <c r="DC45" s="43"/>
      <c r="DD45" s="43"/>
      <c r="DE45" s="71"/>
      <c r="DF45" s="65"/>
      <c r="DG45" s="79"/>
      <c r="DH45" s="45" t="s">
        <v>28</v>
      </c>
      <c r="DI45" s="65"/>
      <c r="DJ45" s="80"/>
      <c r="DK45" s="6"/>
      <c r="DL45" s="4"/>
      <c r="DM45" s="4"/>
      <c r="DN45" s="6"/>
      <c r="DO45" s="112" t="s">
        <v>471</v>
      </c>
      <c r="DP45" s="100"/>
      <c r="DQ45" s="43"/>
      <c r="DR45" s="71">
        <v>1</v>
      </c>
      <c r="DS45" s="65">
        <v>12</v>
      </c>
      <c r="DT45" s="79">
        <v>14</v>
      </c>
      <c r="DU45" s="45" t="s">
        <v>28</v>
      </c>
      <c r="DV45" s="65">
        <f>(DR45*(DS45/5)*DT45)</f>
        <v>33.6</v>
      </c>
      <c r="DW45" s="80">
        <f t="shared" si="84"/>
        <v>168</v>
      </c>
      <c r="DX45" s="45"/>
      <c r="DY45" s="43"/>
      <c r="DZ45" s="4"/>
      <c r="EA45" s="6"/>
      <c r="EB45" s="59"/>
      <c r="EC45" s="43"/>
      <c r="ED45" s="43"/>
      <c r="EE45" s="43"/>
      <c r="EF45" s="65"/>
      <c r="EG45" s="79"/>
      <c r="EH45" s="45"/>
      <c r="EI45" s="65">
        <f t="shared" si="23"/>
        <v>0</v>
      </c>
      <c r="EJ45" s="106">
        <f t="shared" si="24"/>
        <v>0</v>
      </c>
      <c r="EK45" s="45"/>
      <c r="EL45" s="46"/>
      <c r="EM45" s="43"/>
      <c r="EN45" s="70"/>
      <c r="EO45" s="99" t="s">
        <v>574</v>
      </c>
      <c r="EP45" s="100"/>
      <c r="EQ45" s="100"/>
      <c r="ER45" s="71"/>
      <c r="ES45" s="65"/>
      <c r="ET45" s="79">
        <v>125</v>
      </c>
      <c r="EU45" s="45" t="s">
        <v>28</v>
      </c>
      <c r="EV45" s="65">
        <f t="shared" si="89"/>
        <v>0</v>
      </c>
      <c r="EW45" s="80">
        <f t="shared" si="90"/>
        <v>0</v>
      </c>
      <c r="EX45" s="45"/>
      <c r="EY45" s="43"/>
      <c r="EZ45" s="43"/>
      <c r="FA45" s="58"/>
      <c r="FB45" s="70"/>
      <c r="FC45" s="99" t="s">
        <v>575</v>
      </c>
      <c r="FD45" s="100"/>
      <c r="FE45" s="100"/>
      <c r="FF45" s="71"/>
      <c r="FG45" s="65"/>
      <c r="FH45" s="79">
        <v>352</v>
      </c>
      <c r="FI45" s="45" t="s">
        <v>28</v>
      </c>
      <c r="FJ45" s="65">
        <f t="shared" si="93"/>
        <v>0</v>
      </c>
      <c r="FK45" s="80">
        <f t="shared" si="94"/>
        <v>0</v>
      </c>
      <c r="FL45" s="6"/>
      <c r="FM45" s="4"/>
      <c r="FN45" s="417"/>
      <c r="FO45" s="70"/>
      <c r="FP45" s="100"/>
      <c r="FQ45" s="100"/>
      <c r="FR45" s="100"/>
      <c r="FS45" s="71"/>
      <c r="FT45" s="65"/>
      <c r="FU45" s="79"/>
      <c r="FV45" s="45" t="s">
        <v>28</v>
      </c>
      <c r="FW45" s="43"/>
      <c r="FX45" s="80"/>
      <c r="FY45" s="45"/>
      <c r="FZ45" s="4"/>
      <c r="GA45" s="421"/>
      <c r="GB45" s="70"/>
      <c r="GC45" s="43"/>
      <c r="GD45" s="43"/>
      <c r="GE45" s="43"/>
      <c r="GF45" s="71"/>
      <c r="GG45" s="65"/>
      <c r="GH45" s="79"/>
      <c r="GI45" s="45" t="s">
        <v>28</v>
      </c>
      <c r="GJ45" s="65">
        <f t="shared" si="60"/>
        <v>0</v>
      </c>
      <c r="GK45" s="80">
        <f t="shared" si="61"/>
        <v>0</v>
      </c>
      <c r="GL45" s="6"/>
      <c r="GM45" s="4"/>
      <c r="GN45" s="417"/>
      <c r="GO45" s="70"/>
      <c r="GP45" s="100"/>
      <c r="GQ45" s="100"/>
      <c r="GR45" s="43"/>
      <c r="GS45" s="43"/>
      <c r="GT45" s="43"/>
      <c r="GU45" s="43"/>
      <c r="GV45" s="45" t="s">
        <v>28</v>
      </c>
      <c r="GW45" s="43"/>
      <c r="GX45" s="106"/>
      <c r="GY45" s="94"/>
      <c r="GZ45" s="13">
        <f t="shared" si="91"/>
        <v>0</v>
      </c>
      <c r="HA45" s="416"/>
      <c r="HB45" s="70"/>
      <c r="HC45" s="99" t="s">
        <v>260</v>
      </c>
      <c r="HD45" s="100"/>
      <c r="HE45" s="100"/>
      <c r="HF45" s="65"/>
      <c r="HG45" s="65"/>
      <c r="HH45" s="141">
        <v>34.125</v>
      </c>
      <c r="HI45" s="45" t="s">
        <v>28</v>
      </c>
      <c r="HJ45" s="65">
        <f t="shared" si="85"/>
        <v>0</v>
      </c>
      <c r="HK45" s="80">
        <f t="shared" si="86"/>
        <v>0</v>
      </c>
      <c r="HL45" s="6"/>
      <c r="HM45" s="13">
        <f t="shared" si="87"/>
        <v>0</v>
      </c>
      <c r="HN45" s="416"/>
      <c r="HO45" s="70"/>
      <c r="HP45" s="430" t="s">
        <v>576</v>
      </c>
      <c r="HQ45" s="431"/>
      <c r="HR45" s="432"/>
      <c r="HS45" s="433">
        <v>0</v>
      </c>
      <c r="HT45" s="433">
        <v>25</v>
      </c>
      <c r="HU45" s="434">
        <v>2</v>
      </c>
      <c r="HV45" s="435" t="s">
        <v>28</v>
      </c>
      <c r="HW45" s="433">
        <f>(HS45*HT45*HU45)</f>
        <v>0</v>
      </c>
      <c r="HX45" s="436">
        <f aca="true" t="shared" si="95" ref="HX45:HX53">(HW45/$BF$2)*1000</f>
        <v>0</v>
      </c>
      <c r="HY45" s="94"/>
      <c r="HZ45" s="4"/>
      <c r="IA45" s="70"/>
      <c r="IB45" s="532" t="s">
        <v>577</v>
      </c>
      <c r="IC45" s="452"/>
      <c r="ID45" s="453"/>
      <c r="IE45" s="459">
        <v>1</v>
      </c>
      <c r="IF45" s="460">
        <v>2</v>
      </c>
      <c r="IG45" s="461">
        <v>100</v>
      </c>
      <c r="IH45" s="45" t="s">
        <v>28</v>
      </c>
      <c r="II45" s="65">
        <f t="shared" si="81"/>
        <v>200</v>
      </c>
      <c r="IJ45" s="106">
        <f t="shared" si="78"/>
        <v>1000</v>
      </c>
      <c r="IK45" s="94"/>
      <c r="IL45" s="4"/>
      <c r="IM45" s="13"/>
      <c r="IN45" s="13"/>
      <c r="IO45" s="13"/>
      <c r="IP45" s="13"/>
      <c r="IQ45" s="4"/>
      <c r="IR45" s="4"/>
      <c r="IS45" s="4"/>
      <c r="IT45" s="4"/>
      <c r="IU45" s="6" t="s">
        <v>28</v>
      </c>
      <c r="IV45" s="13">
        <f t="shared" si="92"/>
        <v>350</v>
      </c>
    </row>
    <row r="46" spans="1:256" ht="13.5" thickBot="1">
      <c r="A46" s="225"/>
      <c r="B46" s="204"/>
      <c r="C46" s="24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8"/>
      <c r="P46" s="207"/>
      <c r="Q46" s="208"/>
      <c r="R46" s="209"/>
      <c r="S46" s="59"/>
      <c r="T46" s="44" t="s">
        <v>578</v>
      </c>
      <c r="U46" s="43"/>
      <c r="V46" s="43"/>
      <c r="W46" s="43"/>
      <c r="X46" s="65"/>
      <c r="Y46" s="62">
        <f>(IG51)</f>
        <v>1000</v>
      </c>
      <c r="Z46" s="63">
        <f>IF((X46)=0,0,(Y46-X46)/X46)</f>
        <v>0</v>
      </c>
      <c r="AA46" s="6"/>
      <c r="AB46" s="59"/>
      <c r="AC46" s="70"/>
      <c r="AD46" s="284"/>
      <c r="AE46" s="285"/>
      <c r="AF46" s="286"/>
      <c r="AG46" s="299"/>
      <c r="AH46" s="287"/>
      <c r="AI46" s="288"/>
      <c r="AJ46" s="295"/>
      <c r="AK46" s="90"/>
      <c r="AL46" s="262"/>
      <c r="AM46" s="138"/>
      <c r="AN46" s="250"/>
      <c r="AO46" s="100"/>
      <c r="AP46" s="100"/>
      <c r="AQ46" s="100"/>
      <c r="AR46" s="100"/>
      <c r="AS46" s="100"/>
      <c r="AT46" s="100"/>
      <c r="AU46" s="403"/>
      <c r="AV46" s="100"/>
      <c r="AW46" s="251"/>
      <c r="AX46" s="46"/>
      <c r="AY46" s="43"/>
      <c r="AZ46" s="43"/>
      <c r="BA46" s="70"/>
      <c r="BB46" s="43"/>
      <c r="BC46" s="43"/>
      <c r="BD46" s="43"/>
      <c r="BE46" s="71"/>
      <c r="BF46" s="65"/>
      <c r="BG46" s="79"/>
      <c r="BH46" s="45" t="s">
        <v>28</v>
      </c>
      <c r="BI46" s="65">
        <f t="shared" si="40"/>
        <v>0</v>
      </c>
      <c r="BJ46" s="80">
        <f t="shared" si="36"/>
        <v>0</v>
      </c>
      <c r="BK46" s="45"/>
      <c r="BL46" s="43"/>
      <c r="BM46" s="58"/>
      <c r="BN46" s="70"/>
      <c r="BO46" s="99" t="s">
        <v>250</v>
      </c>
      <c r="BP46" s="100"/>
      <c r="BQ46" s="43"/>
      <c r="BR46" s="71">
        <v>1</v>
      </c>
      <c r="BS46" s="65">
        <f aca="true" t="shared" si="96" ref="BS46:BS52">($BV$10)</f>
        <v>385</v>
      </c>
      <c r="BT46" s="79">
        <v>0.085</v>
      </c>
      <c r="BU46" s="45" t="s">
        <v>28</v>
      </c>
      <c r="BV46" s="65">
        <f aca="true" t="shared" si="97" ref="BV46:BV51">(BR46*BS46*BT46)</f>
        <v>32.725</v>
      </c>
      <c r="BW46" s="80">
        <f aca="true" t="shared" si="98" ref="BW46:BW52">(BV46/$BF$2)*1000</f>
        <v>163.62500000000003</v>
      </c>
      <c r="BX46" s="6"/>
      <c r="BY46" s="4"/>
      <c r="BZ46" s="4"/>
      <c r="CA46" s="6"/>
      <c r="CB46" s="112" t="s">
        <v>266</v>
      </c>
      <c r="CC46" s="100"/>
      <c r="CD46" s="43"/>
      <c r="CE46" s="71"/>
      <c r="CF46" s="65"/>
      <c r="CG46" s="79">
        <v>38.06</v>
      </c>
      <c r="CH46" s="45" t="s">
        <v>28</v>
      </c>
      <c r="CI46" s="65">
        <f t="shared" si="15"/>
        <v>0</v>
      </c>
      <c r="CJ46" s="80">
        <f t="shared" si="83"/>
        <v>0</v>
      </c>
      <c r="CK46" s="6"/>
      <c r="CL46" s="4"/>
      <c r="CM46" s="11"/>
      <c r="CN46" s="6"/>
      <c r="CO46" s="112" t="s">
        <v>579</v>
      </c>
      <c r="CP46" s="100"/>
      <c r="CQ46" s="100"/>
      <c r="CR46" s="71">
        <v>1</v>
      </c>
      <c r="CS46" s="65"/>
      <c r="CT46" s="79">
        <v>1800</v>
      </c>
      <c r="CU46" s="45" t="s">
        <v>28</v>
      </c>
      <c r="CV46" s="65">
        <f t="shared" si="82"/>
        <v>1800</v>
      </c>
      <c r="CW46" s="80">
        <f t="shared" si="88"/>
        <v>9000</v>
      </c>
      <c r="CX46" s="6"/>
      <c r="CY46" s="4"/>
      <c r="CZ46" s="11"/>
      <c r="DA46" s="6"/>
      <c r="DB46" s="38" t="s">
        <v>580</v>
      </c>
      <c r="DC46" s="43"/>
      <c r="DD46" s="339">
        <f>($DF$9)</f>
        <v>300</v>
      </c>
      <c r="DE46" s="127" t="s">
        <v>72</v>
      </c>
      <c r="DF46" s="65"/>
      <c r="DG46" s="79"/>
      <c r="DH46" s="45" t="s">
        <v>28</v>
      </c>
      <c r="DI46" s="65"/>
      <c r="DJ46" s="80"/>
      <c r="DK46" s="6"/>
      <c r="DL46" s="4"/>
      <c r="DM46" s="4"/>
      <c r="DN46" s="6"/>
      <c r="DO46" s="112" t="s">
        <v>479</v>
      </c>
      <c r="DP46" s="100"/>
      <c r="DQ46" s="43"/>
      <c r="DR46" s="71">
        <v>0</v>
      </c>
      <c r="DS46" s="65">
        <v>12</v>
      </c>
      <c r="DT46" s="79">
        <v>60</v>
      </c>
      <c r="DU46" s="45" t="s">
        <v>28</v>
      </c>
      <c r="DV46" s="65">
        <f>(DR46*DS46*DT46)</f>
        <v>0</v>
      </c>
      <c r="DW46" s="80">
        <f t="shared" si="84"/>
        <v>0</v>
      </c>
      <c r="DX46" s="45"/>
      <c r="DY46" s="43"/>
      <c r="DZ46" s="4"/>
      <c r="EA46" s="6"/>
      <c r="EB46" s="59"/>
      <c r="EC46" s="43"/>
      <c r="ED46" s="43"/>
      <c r="EE46" s="43"/>
      <c r="EF46" s="65"/>
      <c r="EG46" s="79"/>
      <c r="EH46" s="45"/>
      <c r="EI46" s="65">
        <f t="shared" si="23"/>
        <v>0</v>
      </c>
      <c r="EJ46" s="106">
        <f t="shared" si="24"/>
        <v>0</v>
      </c>
      <c r="EK46" s="45"/>
      <c r="EL46" s="46"/>
      <c r="EM46" s="43"/>
      <c r="EN46" s="70"/>
      <c r="EO46" s="99" t="s">
        <v>581</v>
      </c>
      <c r="EP46" s="100"/>
      <c r="EQ46" s="100"/>
      <c r="ER46" s="71"/>
      <c r="ES46" s="65"/>
      <c r="ET46" s="79">
        <v>160</v>
      </c>
      <c r="EU46" s="45" t="s">
        <v>28</v>
      </c>
      <c r="EV46" s="65">
        <f t="shared" si="89"/>
        <v>0</v>
      </c>
      <c r="EW46" s="80">
        <f t="shared" si="90"/>
        <v>0</v>
      </c>
      <c r="EX46" s="45"/>
      <c r="EY46" s="43"/>
      <c r="EZ46" s="43"/>
      <c r="FA46" s="58"/>
      <c r="FB46" s="70"/>
      <c r="FC46" s="99" t="s">
        <v>582</v>
      </c>
      <c r="FD46" s="100"/>
      <c r="FE46" s="100"/>
      <c r="FF46" s="71"/>
      <c r="FG46" s="65"/>
      <c r="FH46" s="79">
        <v>416</v>
      </c>
      <c r="FI46" s="45" t="s">
        <v>28</v>
      </c>
      <c r="FJ46" s="65">
        <f t="shared" si="93"/>
        <v>0</v>
      </c>
      <c r="FK46" s="80">
        <f t="shared" si="94"/>
        <v>0</v>
      </c>
      <c r="FL46" s="6"/>
      <c r="FM46" s="4"/>
      <c r="FN46" s="417"/>
      <c r="FO46" s="70"/>
      <c r="FP46" s="100"/>
      <c r="FQ46" s="100"/>
      <c r="FR46" s="100"/>
      <c r="FS46" s="71"/>
      <c r="FT46" s="65"/>
      <c r="FU46" s="79"/>
      <c r="FV46" s="45" t="s">
        <v>28</v>
      </c>
      <c r="FW46" s="43"/>
      <c r="FX46" s="80"/>
      <c r="FY46" s="45"/>
      <c r="FZ46" s="4"/>
      <c r="GA46" s="421"/>
      <c r="GB46" s="70"/>
      <c r="GC46" s="43"/>
      <c r="GD46" s="43"/>
      <c r="GE46" s="43"/>
      <c r="GF46" s="71"/>
      <c r="GG46" s="65"/>
      <c r="GH46" s="79"/>
      <c r="GI46" s="45" t="s">
        <v>28</v>
      </c>
      <c r="GJ46" s="65">
        <f t="shared" si="60"/>
        <v>0</v>
      </c>
      <c r="GK46" s="80">
        <f t="shared" si="61"/>
        <v>0</v>
      </c>
      <c r="GL46" s="6"/>
      <c r="GM46" s="4"/>
      <c r="GN46" s="417"/>
      <c r="GO46" s="70"/>
      <c r="GP46" s="475" t="s">
        <v>583</v>
      </c>
      <c r="GQ46" s="476"/>
      <c r="GR46" s="477"/>
      <c r="GS46" s="491">
        <v>250</v>
      </c>
      <c r="GT46" s="492">
        <v>750</v>
      </c>
      <c r="GU46" s="71"/>
      <c r="GV46" s="45" t="s">
        <v>28</v>
      </c>
      <c r="GW46" s="489">
        <f>(GS46*GT46)/1000</f>
        <v>187.5</v>
      </c>
      <c r="GX46" s="490">
        <f aca="true" t="shared" si="99" ref="GX46:GX53">(GW46/$GW$7)*1000*2</f>
        <v>1875</v>
      </c>
      <c r="GY46" s="94"/>
      <c r="GZ46" s="13">
        <f t="shared" si="91"/>
        <v>0</v>
      </c>
      <c r="HA46" s="416"/>
      <c r="HB46" s="70"/>
      <c r="HC46" s="99" t="s">
        <v>274</v>
      </c>
      <c r="HD46" s="100"/>
      <c r="HE46" s="100"/>
      <c r="HF46" s="65"/>
      <c r="HG46" s="65"/>
      <c r="HH46" s="141">
        <v>41.125</v>
      </c>
      <c r="HI46" s="45" t="s">
        <v>28</v>
      </c>
      <c r="HJ46" s="65">
        <f t="shared" si="85"/>
        <v>0</v>
      </c>
      <c r="HK46" s="80">
        <f t="shared" si="86"/>
        <v>0</v>
      </c>
      <c r="HL46" s="6"/>
      <c r="HM46" s="13">
        <f t="shared" si="87"/>
        <v>0</v>
      </c>
      <c r="HN46" s="416"/>
      <c r="HO46" s="70"/>
      <c r="HP46" s="437" t="s">
        <v>584</v>
      </c>
      <c r="HQ46" s="438"/>
      <c r="HR46" s="439"/>
      <c r="HS46" s="440">
        <v>1</v>
      </c>
      <c r="HT46" s="440">
        <v>18</v>
      </c>
      <c r="HU46" s="441">
        <v>2.5</v>
      </c>
      <c r="HV46" s="442" t="s">
        <v>28</v>
      </c>
      <c r="HW46" s="440">
        <f aca="true" t="shared" si="100" ref="HW46:HW53">(HS46*HT46*HU46)</f>
        <v>45</v>
      </c>
      <c r="HX46" s="443">
        <f t="shared" si="95"/>
        <v>225</v>
      </c>
      <c r="HY46" s="94"/>
      <c r="HZ46" s="4"/>
      <c r="IA46" s="70"/>
      <c r="IB46" s="533" t="s">
        <v>585</v>
      </c>
      <c r="IC46" s="454"/>
      <c r="ID46" s="455"/>
      <c r="IE46" s="462">
        <v>1</v>
      </c>
      <c r="IF46" s="463">
        <v>1</v>
      </c>
      <c r="IG46" s="464">
        <v>500</v>
      </c>
      <c r="IH46" s="45" t="s">
        <v>28</v>
      </c>
      <c r="II46" s="65">
        <f t="shared" si="81"/>
        <v>500</v>
      </c>
      <c r="IJ46" s="106">
        <f t="shared" si="78"/>
        <v>2500</v>
      </c>
      <c r="IK46" s="94"/>
      <c r="IL46" s="4"/>
      <c r="IM46" s="13"/>
      <c r="IN46" s="13"/>
      <c r="IO46" s="13"/>
      <c r="IP46" s="13"/>
      <c r="IQ46" s="4"/>
      <c r="IR46" s="4"/>
      <c r="IS46" s="4"/>
      <c r="IT46" s="4"/>
      <c r="IU46" s="6" t="s">
        <v>28</v>
      </c>
      <c r="IV46" s="13">
        <f t="shared" si="92"/>
        <v>200</v>
      </c>
    </row>
    <row r="47" spans="1:256" ht="13.5" thickBot="1">
      <c r="A47" s="225"/>
      <c r="B47" s="204"/>
      <c r="C47" s="245"/>
      <c r="D47" s="205"/>
      <c r="E47" s="205"/>
      <c r="F47" s="205"/>
      <c r="G47" s="206"/>
      <c r="H47" s="205"/>
      <c r="I47" s="205"/>
      <c r="J47" s="205"/>
      <c r="K47" s="205"/>
      <c r="L47" s="104"/>
      <c r="M47" s="205"/>
      <c r="N47" s="205"/>
      <c r="O47" s="208"/>
      <c r="P47" s="207"/>
      <c r="Q47" s="208"/>
      <c r="R47" s="209"/>
      <c r="S47" s="59"/>
      <c r="T47" s="43"/>
      <c r="U47" s="43"/>
      <c r="V47" s="43"/>
      <c r="W47" s="43"/>
      <c r="X47" s="43"/>
      <c r="Y47" s="43"/>
      <c r="Z47" s="46"/>
      <c r="AA47" s="6"/>
      <c r="AB47" s="59"/>
      <c r="AC47" s="70"/>
      <c r="AD47" s="289"/>
      <c r="AE47" s="481" t="s">
        <v>586</v>
      </c>
      <c r="AF47" s="482"/>
      <c r="AG47" s="483"/>
      <c r="AH47" s="482"/>
      <c r="AI47" s="568">
        <f>Y55</f>
        <v>132582.34809728</v>
      </c>
      <c r="AJ47" s="296"/>
      <c r="AK47" s="90"/>
      <c r="AL47" s="262"/>
      <c r="AM47" s="138"/>
      <c r="AN47" s="250"/>
      <c r="AO47" s="100"/>
      <c r="AP47" s="100"/>
      <c r="AQ47" s="394" t="s">
        <v>587</v>
      </c>
      <c r="AR47" s="395"/>
      <c r="AS47" s="396"/>
      <c r="AT47" s="100"/>
      <c r="AU47" s="404" t="s">
        <v>65</v>
      </c>
      <c r="AV47" s="100"/>
      <c r="AW47" s="251"/>
      <c r="AX47" s="46"/>
      <c r="AY47" s="43"/>
      <c r="AZ47" s="43"/>
      <c r="BA47" s="70"/>
      <c r="BB47" s="43"/>
      <c r="BC47" s="43"/>
      <c r="BD47" s="43"/>
      <c r="BE47" s="71"/>
      <c r="BF47" s="65"/>
      <c r="BG47" s="79"/>
      <c r="BH47" s="45" t="s">
        <v>28</v>
      </c>
      <c r="BI47" s="65">
        <f t="shared" si="40"/>
        <v>0</v>
      </c>
      <c r="BJ47" s="80">
        <f t="shared" si="36"/>
        <v>0</v>
      </c>
      <c r="BK47" s="45"/>
      <c r="BL47" s="43"/>
      <c r="BM47" s="58"/>
      <c r="BN47" s="70"/>
      <c r="BO47" s="99" t="s">
        <v>501</v>
      </c>
      <c r="BP47" s="100"/>
      <c r="BQ47" s="43"/>
      <c r="BR47" s="71">
        <v>0.1</v>
      </c>
      <c r="BS47" s="65">
        <f t="shared" si="96"/>
        <v>385</v>
      </c>
      <c r="BT47" s="79">
        <v>0.528</v>
      </c>
      <c r="BU47" s="45" t="s">
        <v>28</v>
      </c>
      <c r="BV47" s="65">
        <f t="shared" si="97"/>
        <v>20.328</v>
      </c>
      <c r="BW47" s="80">
        <f t="shared" si="98"/>
        <v>101.64</v>
      </c>
      <c r="BX47" s="6"/>
      <c r="BY47" s="4"/>
      <c r="BZ47" s="4"/>
      <c r="CA47" s="6"/>
      <c r="CB47" s="112" t="s">
        <v>282</v>
      </c>
      <c r="CC47" s="100"/>
      <c r="CD47" s="43"/>
      <c r="CE47" s="71"/>
      <c r="CF47" s="65"/>
      <c r="CG47" s="79">
        <v>45.1</v>
      </c>
      <c r="CH47" s="45" t="s">
        <v>28</v>
      </c>
      <c r="CI47" s="65">
        <f t="shared" si="15"/>
        <v>0</v>
      </c>
      <c r="CJ47" s="80">
        <f t="shared" si="83"/>
        <v>0</v>
      </c>
      <c r="CK47" s="6"/>
      <c r="CL47" s="4"/>
      <c r="CM47" s="11"/>
      <c r="CN47" s="6"/>
      <c r="CO47" s="112" t="s">
        <v>588</v>
      </c>
      <c r="CP47" s="100"/>
      <c r="CQ47" s="100"/>
      <c r="CR47" s="71">
        <v>1</v>
      </c>
      <c r="CS47" s="65"/>
      <c r="CT47" s="79">
        <v>100</v>
      </c>
      <c r="CU47" s="45" t="s">
        <v>28</v>
      </c>
      <c r="CV47" s="65">
        <f t="shared" si="82"/>
        <v>100</v>
      </c>
      <c r="CW47" s="80">
        <f t="shared" si="88"/>
        <v>500</v>
      </c>
      <c r="CX47" s="6"/>
      <c r="CY47" s="4"/>
      <c r="CZ47" s="11"/>
      <c r="DA47" s="6"/>
      <c r="DB47" s="112" t="s">
        <v>185</v>
      </c>
      <c r="DC47" s="100"/>
      <c r="DD47" s="43"/>
      <c r="DE47" s="71">
        <v>1</v>
      </c>
      <c r="DF47" s="65">
        <f aca="true" t="shared" si="101" ref="DF47:DF52">($DF$9)</f>
        <v>300</v>
      </c>
      <c r="DG47" s="79">
        <v>0.45</v>
      </c>
      <c r="DH47" s="45" t="s">
        <v>28</v>
      </c>
      <c r="DI47" s="65">
        <f>(DE47*DF47*DG47)</f>
        <v>135</v>
      </c>
      <c r="DJ47" s="80">
        <f aca="true" t="shared" si="102" ref="DJ47:DJ53">(DI47/$BF$2)*1000</f>
        <v>675</v>
      </c>
      <c r="DK47" s="6"/>
      <c r="DL47" s="4"/>
      <c r="DM47" s="4"/>
      <c r="DN47" s="6"/>
      <c r="DO47" s="112" t="s">
        <v>253</v>
      </c>
      <c r="DP47" s="100"/>
      <c r="DQ47" s="43"/>
      <c r="DR47" s="71">
        <v>1</v>
      </c>
      <c r="DS47" s="342">
        <f>DS44</f>
        <v>20</v>
      </c>
      <c r="DT47" s="79">
        <v>0.065</v>
      </c>
      <c r="DU47" s="45" t="s">
        <v>28</v>
      </c>
      <c r="DV47" s="65">
        <f>(DR47*DS47*DT47)</f>
        <v>1.3</v>
      </c>
      <c r="DW47" s="80">
        <f t="shared" si="84"/>
        <v>6.500000000000001</v>
      </c>
      <c r="DX47" s="45"/>
      <c r="DY47" s="43"/>
      <c r="DZ47" s="4"/>
      <c r="EA47" s="6"/>
      <c r="EB47" s="59"/>
      <c r="EC47" s="43"/>
      <c r="ED47" s="43"/>
      <c r="EE47" s="71"/>
      <c r="EF47" s="65"/>
      <c r="EG47" s="79"/>
      <c r="EH47" s="45"/>
      <c r="EI47" s="65">
        <f t="shared" si="23"/>
        <v>0</v>
      </c>
      <c r="EJ47" s="106">
        <f t="shared" si="24"/>
        <v>0</v>
      </c>
      <c r="EK47" s="45"/>
      <c r="EL47" s="46"/>
      <c r="EM47" s="43"/>
      <c r="EN47" s="70"/>
      <c r="EO47" s="302" t="s">
        <v>589</v>
      </c>
      <c r="EP47" s="469"/>
      <c r="EQ47" s="43"/>
      <c r="ER47" s="71"/>
      <c r="ES47" s="65"/>
      <c r="ET47" s="79"/>
      <c r="EU47" s="45" t="s">
        <v>28</v>
      </c>
      <c r="EV47" s="65"/>
      <c r="EW47" s="80"/>
      <c r="EX47" s="45"/>
      <c r="EY47" s="43"/>
      <c r="EZ47" s="43"/>
      <c r="FA47" s="58"/>
      <c r="FB47" s="70"/>
      <c r="FC47" s="43"/>
      <c r="FD47" s="43"/>
      <c r="FE47" s="43"/>
      <c r="FF47" s="71"/>
      <c r="FG47" s="65"/>
      <c r="FH47" s="79"/>
      <c r="FI47" s="45" t="s">
        <v>28</v>
      </c>
      <c r="FJ47" s="65">
        <f t="shared" si="93"/>
        <v>0</v>
      </c>
      <c r="FK47" s="80">
        <f t="shared" si="94"/>
        <v>0</v>
      </c>
      <c r="FL47" s="6"/>
      <c r="FM47" s="4"/>
      <c r="FN47" s="417"/>
      <c r="FO47" s="70"/>
      <c r="FP47" s="100"/>
      <c r="FQ47" s="100"/>
      <c r="FR47" s="100"/>
      <c r="FS47" s="71"/>
      <c r="FT47" s="65"/>
      <c r="FU47" s="79"/>
      <c r="FV47" s="45" t="s">
        <v>28</v>
      </c>
      <c r="FW47" s="43"/>
      <c r="FX47" s="80"/>
      <c r="FY47" s="45"/>
      <c r="FZ47" s="4"/>
      <c r="GA47" s="421"/>
      <c r="GB47" s="70"/>
      <c r="GC47" s="43"/>
      <c r="GD47" s="43"/>
      <c r="GE47" s="43"/>
      <c r="GF47" s="71"/>
      <c r="GG47" s="65"/>
      <c r="GH47" s="79"/>
      <c r="GI47" s="45" t="s">
        <v>28</v>
      </c>
      <c r="GJ47" s="65">
        <f t="shared" si="60"/>
        <v>0</v>
      </c>
      <c r="GK47" s="80">
        <f t="shared" si="61"/>
        <v>0</v>
      </c>
      <c r="GL47" s="6"/>
      <c r="GM47" s="4"/>
      <c r="GN47" s="417"/>
      <c r="GO47" s="70"/>
      <c r="GP47" s="43"/>
      <c r="GQ47" s="43"/>
      <c r="GR47" s="43"/>
      <c r="GS47" s="71"/>
      <c r="GT47" s="71"/>
      <c r="GU47" s="71"/>
      <c r="GV47" s="45" t="s">
        <v>28</v>
      </c>
      <c r="GW47" s="65">
        <f aca="true" t="shared" si="103" ref="GW47:GW53">(GS47*GT47*GU47)</f>
        <v>0</v>
      </c>
      <c r="GX47" s="106">
        <f t="shared" si="99"/>
        <v>0</v>
      </c>
      <c r="GY47" s="94"/>
      <c r="GZ47" s="13">
        <f t="shared" si="91"/>
        <v>0</v>
      </c>
      <c r="HA47" s="416"/>
      <c r="HB47" s="70"/>
      <c r="HC47" s="99" t="s">
        <v>289</v>
      </c>
      <c r="HD47" s="100"/>
      <c r="HE47" s="100"/>
      <c r="HF47" s="65"/>
      <c r="HG47" s="65"/>
      <c r="HH47" s="141">
        <v>50.75</v>
      </c>
      <c r="HI47" s="45" t="s">
        <v>28</v>
      </c>
      <c r="HJ47" s="65">
        <f t="shared" si="85"/>
        <v>0</v>
      </c>
      <c r="HK47" s="80">
        <f t="shared" si="86"/>
        <v>0</v>
      </c>
      <c r="HL47" s="6"/>
      <c r="HM47" s="13">
        <f t="shared" si="87"/>
        <v>0</v>
      </c>
      <c r="HN47" s="416"/>
      <c r="HO47" s="70"/>
      <c r="HP47" s="437" t="s">
        <v>590</v>
      </c>
      <c r="HQ47" s="438"/>
      <c r="HR47" s="439"/>
      <c r="HS47" s="440">
        <v>0</v>
      </c>
      <c r="HT47" s="440">
        <v>1</v>
      </c>
      <c r="HU47" s="441">
        <v>15</v>
      </c>
      <c r="HV47" s="442" t="s">
        <v>28</v>
      </c>
      <c r="HW47" s="440">
        <f t="shared" si="100"/>
        <v>0</v>
      </c>
      <c r="HX47" s="443">
        <f t="shared" si="95"/>
        <v>0</v>
      </c>
      <c r="HY47" s="94"/>
      <c r="HZ47" s="4"/>
      <c r="IA47" s="70"/>
      <c r="IB47" s="112" t="s">
        <v>591</v>
      </c>
      <c r="IC47" s="100"/>
      <c r="ID47" s="100"/>
      <c r="IE47" s="65">
        <v>1</v>
      </c>
      <c r="IF47" s="65">
        <v>1</v>
      </c>
      <c r="IG47" s="79">
        <v>300</v>
      </c>
      <c r="IH47" s="45" t="s">
        <v>28</v>
      </c>
      <c r="II47" s="65">
        <f t="shared" si="81"/>
        <v>300</v>
      </c>
      <c r="IJ47" s="106">
        <f t="shared" si="78"/>
        <v>1500</v>
      </c>
      <c r="IK47" s="94"/>
      <c r="IL47" s="4"/>
      <c r="IM47" s="13"/>
      <c r="IN47" s="13"/>
      <c r="IO47" s="13"/>
      <c r="IP47" s="13"/>
      <c r="IQ47" s="4"/>
      <c r="IR47" s="4"/>
      <c r="IS47" s="4"/>
      <c r="IT47" s="4"/>
      <c r="IU47" s="6" t="s">
        <v>28</v>
      </c>
      <c r="IV47" s="13">
        <f t="shared" si="92"/>
        <v>500</v>
      </c>
    </row>
    <row r="48" spans="1:256" ht="12.75">
      <c r="A48" s="225"/>
      <c r="B48" s="204"/>
      <c r="C48" s="245"/>
      <c r="D48" s="74"/>
      <c r="E48" s="74"/>
      <c r="F48" s="74"/>
      <c r="G48" s="205"/>
      <c r="H48" s="205"/>
      <c r="I48" s="205"/>
      <c r="J48" s="205"/>
      <c r="K48" s="205"/>
      <c r="L48" s="205"/>
      <c r="M48" s="205"/>
      <c r="N48" s="205"/>
      <c r="O48" s="208"/>
      <c r="P48" s="207"/>
      <c r="Q48" s="208"/>
      <c r="R48" s="209"/>
      <c r="S48" s="66"/>
      <c r="T48" s="43"/>
      <c r="U48" s="43"/>
      <c r="V48" s="43"/>
      <c r="W48" s="43"/>
      <c r="X48" s="65"/>
      <c r="Y48" s="65"/>
      <c r="Z48" s="46"/>
      <c r="AA48" s="6"/>
      <c r="AB48" s="59"/>
      <c r="AC48" s="70"/>
      <c r="AD48" s="289"/>
      <c r="AE48" s="558" t="s">
        <v>592</v>
      </c>
      <c r="AF48" s="509"/>
      <c r="AG48" s="567">
        <f>AJ43</f>
        <v>56190.996097279996</v>
      </c>
      <c r="AH48" s="257"/>
      <c r="AI48" s="260"/>
      <c r="AJ48" s="297"/>
      <c r="AK48" s="90"/>
      <c r="AL48" s="262"/>
      <c r="AM48" s="138"/>
      <c r="AN48" s="250"/>
      <c r="AO48" s="100"/>
      <c r="AP48" s="100"/>
      <c r="AQ48" s="100"/>
      <c r="AR48" s="100"/>
      <c r="AS48" s="100"/>
      <c r="AT48" s="100"/>
      <c r="AU48" s="403"/>
      <c r="AV48" s="100"/>
      <c r="AW48" s="251"/>
      <c r="AX48" s="46"/>
      <c r="AY48" s="43"/>
      <c r="AZ48" s="43"/>
      <c r="BA48" s="70"/>
      <c r="BB48" s="43"/>
      <c r="BC48" s="43"/>
      <c r="BD48" s="43"/>
      <c r="BE48" s="71"/>
      <c r="BF48" s="65"/>
      <c r="BG48" s="79"/>
      <c r="BH48" s="45" t="s">
        <v>28</v>
      </c>
      <c r="BI48" s="65">
        <f t="shared" si="40"/>
        <v>0</v>
      </c>
      <c r="BJ48" s="80">
        <f t="shared" si="36"/>
        <v>0</v>
      </c>
      <c r="BK48" s="45"/>
      <c r="BL48" s="43"/>
      <c r="BM48" s="58"/>
      <c r="BN48" s="70"/>
      <c r="BO48" s="99" t="s">
        <v>281</v>
      </c>
      <c r="BP48" s="100"/>
      <c r="BQ48" s="43"/>
      <c r="BR48" s="71">
        <v>0.25</v>
      </c>
      <c r="BS48" s="65">
        <f t="shared" si="96"/>
        <v>385</v>
      </c>
      <c r="BT48" s="79">
        <v>1.2</v>
      </c>
      <c r="BU48" s="45" t="s">
        <v>28</v>
      </c>
      <c r="BV48" s="65">
        <f t="shared" si="97"/>
        <v>115.5</v>
      </c>
      <c r="BW48" s="80">
        <f t="shared" si="98"/>
        <v>577.5</v>
      </c>
      <c r="BX48" s="6"/>
      <c r="BY48" s="4"/>
      <c r="BZ48" s="4"/>
      <c r="CA48" s="6"/>
      <c r="CB48" s="112" t="s">
        <v>295</v>
      </c>
      <c r="CC48" s="100"/>
      <c r="CD48" s="43"/>
      <c r="CE48" s="71"/>
      <c r="CF48" s="65"/>
      <c r="CG48" s="79">
        <v>58.08</v>
      </c>
      <c r="CH48" s="45" t="s">
        <v>28</v>
      </c>
      <c r="CI48" s="65">
        <f t="shared" si="15"/>
        <v>0</v>
      </c>
      <c r="CJ48" s="80">
        <f t="shared" si="83"/>
        <v>0</v>
      </c>
      <c r="CK48" s="6"/>
      <c r="CL48" s="4"/>
      <c r="CM48" s="11"/>
      <c r="CN48" s="6"/>
      <c r="CO48" s="59"/>
      <c r="CP48" s="43"/>
      <c r="CQ48" s="43"/>
      <c r="CR48" s="71"/>
      <c r="CS48" s="65"/>
      <c r="CT48" s="79"/>
      <c r="CU48" s="45" t="s">
        <v>28</v>
      </c>
      <c r="CV48" s="65">
        <f t="shared" si="82"/>
        <v>0</v>
      </c>
      <c r="CW48" s="80"/>
      <c r="CX48" s="6"/>
      <c r="CY48" s="4"/>
      <c r="CZ48" s="11"/>
      <c r="DA48" s="6"/>
      <c r="DB48" s="112" t="s">
        <v>199</v>
      </c>
      <c r="DC48" s="100"/>
      <c r="DD48" s="43"/>
      <c r="DE48" s="71">
        <v>1</v>
      </c>
      <c r="DF48" s="65">
        <f t="shared" si="101"/>
        <v>300</v>
      </c>
      <c r="DG48" s="79">
        <v>0.65</v>
      </c>
      <c r="DH48" s="45" t="s">
        <v>28</v>
      </c>
      <c r="DI48" s="65">
        <f>(DE48*DF48*DG48)</f>
        <v>195</v>
      </c>
      <c r="DJ48" s="80">
        <f t="shared" si="102"/>
        <v>975</v>
      </c>
      <c r="DK48" s="6"/>
      <c r="DL48" s="4"/>
      <c r="DM48" s="4"/>
      <c r="DN48" s="6"/>
      <c r="DO48" s="112" t="s">
        <v>267</v>
      </c>
      <c r="DP48" s="100"/>
      <c r="DQ48" s="43"/>
      <c r="DR48" s="71">
        <v>1</v>
      </c>
      <c r="DS48" s="343">
        <f>(DS44)</f>
        <v>20</v>
      </c>
      <c r="DT48" s="79">
        <f>$DW$8</f>
        <v>2</v>
      </c>
      <c r="DU48" s="45" t="s">
        <v>28</v>
      </c>
      <c r="DV48" s="65">
        <f>(DR48*(DS48/5)*DT48)</f>
        <v>8</v>
      </c>
      <c r="DW48" s="80">
        <f t="shared" si="84"/>
        <v>40</v>
      </c>
      <c r="DX48" s="45"/>
      <c r="DY48" s="58">
        <f>(DR48*DS48/5)</f>
        <v>4</v>
      </c>
      <c r="DZ48" s="4"/>
      <c r="EA48" s="6"/>
      <c r="EB48" s="59"/>
      <c r="EC48" s="43"/>
      <c r="ED48" s="43"/>
      <c r="EE48" s="71"/>
      <c r="EF48" s="65"/>
      <c r="EG48" s="79"/>
      <c r="EH48" s="45"/>
      <c r="EI48" s="65">
        <f t="shared" si="23"/>
        <v>0</v>
      </c>
      <c r="EJ48" s="106">
        <f t="shared" si="24"/>
        <v>0</v>
      </c>
      <c r="EK48" s="45"/>
      <c r="EL48" s="46"/>
      <c r="EM48" s="43"/>
      <c r="EN48" s="70"/>
      <c r="EO48" s="99" t="s">
        <v>593</v>
      </c>
      <c r="EP48" s="100"/>
      <c r="EQ48" s="100"/>
      <c r="ER48" s="71">
        <v>1</v>
      </c>
      <c r="ES48" s="65">
        <v>2</v>
      </c>
      <c r="ET48" s="79">
        <v>120</v>
      </c>
      <c r="EU48" s="45" t="s">
        <v>28</v>
      </c>
      <c r="EV48" s="65">
        <f t="shared" si="89"/>
        <v>240</v>
      </c>
      <c r="EW48" s="80">
        <f t="shared" si="90"/>
        <v>1200</v>
      </c>
      <c r="EX48" s="45"/>
      <c r="EY48" s="43"/>
      <c r="EZ48" s="43"/>
      <c r="FA48" s="58"/>
      <c r="FB48" s="70"/>
      <c r="FC48" s="43"/>
      <c r="FD48" s="43"/>
      <c r="FE48" s="43"/>
      <c r="FF48" s="71"/>
      <c r="FG48" s="65"/>
      <c r="FH48" s="79"/>
      <c r="FI48" s="45" t="s">
        <v>28</v>
      </c>
      <c r="FJ48" s="65">
        <f t="shared" si="93"/>
        <v>0</v>
      </c>
      <c r="FK48" s="80">
        <f t="shared" si="94"/>
        <v>0</v>
      </c>
      <c r="FL48" s="6"/>
      <c r="FM48" s="4"/>
      <c r="FN48" s="417"/>
      <c r="FO48" s="70"/>
      <c r="FP48" s="100"/>
      <c r="FQ48" s="100"/>
      <c r="FR48" s="100"/>
      <c r="FS48" s="71"/>
      <c r="FT48" s="65"/>
      <c r="FU48" s="79"/>
      <c r="FV48" s="45" t="s">
        <v>28</v>
      </c>
      <c r="FW48" s="43"/>
      <c r="FX48" s="80"/>
      <c r="FY48" s="45"/>
      <c r="FZ48" s="4"/>
      <c r="GA48" s="421"/>
      <c r="GB48" s="70"/>
      <c r="GC48" s="43"/>
      <c r="GD48" s="43"/>
      <c r="GE48" s="43"/>
      <c r="GF48" s="71"/>
      <c r="GG48" s="65"/>
      <c r="GH48" s="79"/>
      <c r="GI48" s="45" t="s">
        <v>28</v>
      </c>
      <c r="GJ48" s="65">
        <f t="shared" si="60"/>
        <v>0</v>
      </c>
      <c r="GK48" s="80">
        <f t="shared" si="61"/>
        <v>0</v>
      </c>
      <c r="GL48" s="6"/>
      <c r="GM48" s="4"/>
      <c r="GN48" s="417"/>
      <c r="GO48" s="70"/>
      <c r="GP48" s="43"/>
      <c r="GQ48" s="43"/>
      <c r="GR48" s="43"/>
      <c r="GS48" s="71"/>
      <c r="GT48" s="71"/>
      <c r="GU48" s="71"/>
      <c r="GV48" s="45" t="s">
        <v>28</v>
      </c>
      <c r="GW48" s="65">
        <f t="shared" si="103"/>
        <v>0</v>
      </c>
      <c r="GX48" s="106">
        <f t="shared" si="99"/>
        <v>0</v>
      </c>
      <c r="GY48" s="94"/>
      <c r="GZ48" s="13"/>
      <c r="HA48" s="416"/>
      <c r="HB48" s="70"/>
      <c r="HC48" s="99" t="s">
        <v>305</v>
      </c>
      <c r="HD48" s="100"/>
      <c r="HE48" s="100"/>
      <c r="HF48" s="65"/>
      <c r="HG48" s="65"/>
      <c r="HH48" s="141">
        <v>50.5</v>
      </c>
      <c r="HI48" s="45" t="s">
        <v>28</v>
      </c>
      <c r="HJ48" s="65">
        <f t="shared" si="85"/>
        <v>0</v>
      </c>
      <c r="HK48" s="80">
        <f t="shared" si="86"/>
        <v>0</v>
      </c>
      <c r="HL48" s="6"/>
      <c r="HM48" s="13">
        <f>(HF48*HG48*HH49)</f>
        <v>0</v>
      </c>
      <c r="HN48" s="416"/>
      <c r="HO48" s="70"/>
      <c r="HP48" s="437" t="s">
        <v>594</v>
      </c>
      <c r="HQ48" s="438"/>
      <c r="HR48" s="439"/>
      <c r="HS48" s="440">
        <v>1</v>
      </c>
      <c r="HT48" s="440">
        <v>36</v>
      </c>
      <c r="HU48" s="441">
        <v>5</v>
      </c>
      <c r="HV48" s="442" t="s">
        <v>28</v>
      </c>
      <c r="HW48" s="440">
        <f t="shared" si="100"/>
        <v>180</v>
      </c>
      <c r="HX48" s="443">
        <f t="shared" si="95"/>
        <v>900</v>
      </c>
      <c r="HY48" s="94"/>
      <c r="HZ48" s="4"/>
      <c r="IA48" s="70"/>
      <c r="IB48" s="112" t="s">
        <v>595</v>
      </c>
      <c r="IC48" s="100"/>
      <c r="ID48" s="100"/>
      <c r="IE48" s="65">
        <v>1</v>
      </c>
      <c r="IF48" s="65">
        <v>1</v>
      </c>
      <c r="IG48" s="79">
        <v>250</v>
      </c>
      <c r="IH48" s="45" t="s">
        <v>28</v>
      </c>
      <c r="II48" s="65">
        <f t="shared" si="81"/>
        <v>250</v>
      </c>
      <c r="IJ48" s="106">
        <f t="shared" si="78"/>
        <v>1250</v>
      </c>
      <c r="IK48" s="94"/>
      <c r="IL48" s="4"/>
      <c r="IM48" s="13"/>
      <c r="IN48" s="13"/>
      <c r="IO48" s="13"/>
      <c r="IP48" s="13"/>
      <c r="IQ48" s="4"/>
      <c r="IR48" s="4"/>
      <c r="IS48" s="4"/>
      <c r="IT48" s="4"/>
      <c r="IU48" s="6" t="s">
        <v>28</v>
      </c>
      <c r="IV48" s="13">
        <f t="shared" si="92"/>
        <v>300</v>
      </c>
    </row>
    <row r="49" spans="1:256" ht="12.75">
      <c r="A49" s="225"/>
      <c r="B49" s="204"/>
      <c r="C49" s="245"/>
      <c r="D49" s="74"/>
      <c r="E49" s="74"/>
      <c r="F49" s="74"/>
      <c r="G49" s="206"/>
      <c r="H49" s="205"/>
      <c r="I49" s="205"/>
      <c r="J49" s="205"/>
      <c r="K49" s="205"/>
      <c r="L49" s="205"/>
      <c r="M49" s="213"/>
      <c r="N49" s="213"/>
      <c r="O49" s="208"/>
      <c r="P49" s="207"/>
      <c r="Q49" s="208"/>
      <c r="R49" s="209"/>
      <c r="S49" s="59"/>
      <c r="T49" s="44" t="s">
        <v>596</v>
      </c>
      <c r="U49" s="43"/>
      <c r="V49" s="43"/>
      <c r="W49" s="43"/>
      <c r="X49" s="65"/>
      <c r="Y49" s="65"/>
      <c r="Z49" s="193" t="s">
        <v>597</v>
      </c>
      <c r="AA49" s="6"/>
      <c r="AB49" s="59"/>
      <c r="AC49" s="70"/>
      <c r="AD49" s="289"/>
      <c r="AE49" s="558" t="s">
        <v>598</v>
      </c>
      <c r="AF49" s="559"/>
      <c r="AG49" s="569">
        <f>Y35</f>
        <v>6000</v>
      </c>
      <c r="AH49" s="230"/>
      <c r="AI49" s="259"/>
      <c r="AJ49" s="297"/>
      <c r="AK49" s="90"/>
      <c r="AL49" s="262"/>
      <c r="AM49" s="138"/>
      <c r="AN49" s="250"/>
      <c r="AO49" s="100"/>
      <c r="AP49" s="100"/>
      <c r="AQ49" s="394" t="s">
        <v>599</v>
      </c>
      <c r="AR49" s="395"/>
      <c r="AS49" s="396"/>
      <c r="AT49" s="100"/>
      <c r="AU49" s="326">
        <f>AU27+10</f>
        <v>35</v>
      </c>
      <c r="AV49" s="252">
        <v>15</v>
      </c>
      <c r="AW49" s="251"/>
      <c r="AX49" s="46"/>
      <c r="AY49" s="43"/>
      <c r="AZ49" s="43"/>
      <c r="BA49" s="70"/>
      <c r="BB49" s="43"/>
      <c r="BC49" s="43"/>
      <c r="BD49" s="43"/>
      <c r="BE49" s="71"/>
      <c r="BF49" s="65"/>
      <c r="BG49" s="79"/>
      <c r="BH49" s="45" t="s">
        <v>28</v>
      </c>
      <c r="BI49" s="65">
        <f t="shared" si="40"/>
        <v>0</v>
      </c>
      <c r="BJ49" s="80">
        <f t="shared" si="36"/>
        <v>0</v>
      </c>
      <c r="BK49" s="45"/>
      <c r="BL49" s="43"/>
      <c r="BM49" s="58"/>
      <c r="BN49" s="70"/>
      <c r="BO49" s="99" t="s">
        <v>235</v>
      </c>
      <c r="BP49" s="100"/>
      <c r="BQ49" s="43"/>
      <c r="BR49" s="71">
        <v>0.2</v>
      </c>
      <c r="BS49" s="65">
        <f t="shared" si="96"/>
        <v>385</v>
      </c>
      <c r="BT49" s="79">
        <f>BT48*1.3</f>
        <v>1.56</v>
      </c>
      <c r="BU49" s="45" t="s">
        <v>28</v>
      </c>
      <c r="BV49" s="65">
        <f t="shared" si="97"/>
        <v>120.12</v>
      </c>
      <c r="BW49" s="80">
        <f t="shared" si="98"/>
        <v>600.6</v>
      </c>
      <c r="BX49" s="6"/>
      <c r="BY49" s="4"/>
      <c r="BZ49" s="4"/>
      <c r="CA49" s="6"/>
      <c r="CB49" s="112" t="s">
        <v>314</v>
      </c>
      <c r="CC49" s="100"/>
      <c r="CD49" s="65"/>
      <c r="CE49" s="71"/>
      <c r="CF49" s="65"/>
      <c r="CG49" s="79">
        <v>72.16</v>
      </c>
      <c r="CH49" s="45" t="s">
        <v>28</v>
      </c>
      <c r="CI49" s="65">
        <f t="shared" si="15"/>
        <v>0</v>
      </c>
      <c r="CJ49" s="80">
        <f t="shared" si="83"/>
        <v>0</v>
      </c>
      <c r="CK49" s="6"/>
      <c r="CL49" s="4"/>
      <c r="CM49" s="4"/>
      <c r="CN49" s="6"/>
      <c r="CO49" s="38" t="s">
        <v>600</v>
      </c>
      <c r="CP49" s="43"/>
      <c r="CQ49" s="65"/>
      <c r="CR49" s="71"/>
      <c r="CS49" s="65"/>
      <c r="CT49" s="79"/>
      <c r="CU49" s="45" t="s">
        <v>28</v>
      </c>
      <c r="CV49" s="65">
        <f t="shared" si="82"/>
        <v>0</v>
      </c>
      <c r="CW49" s="80"/>
      <c r="CX49" s="6"/>
      <c r="CY49" s="4"/>
      <c r="CZ49" s="11"/>
      <c r="DA49" s="6"/>
      <c r="DB49" s="112" t="s">
        <v>216</v>
      </c>
      <c r="DC49" s="100"/>
      <c r="DD49" s="43"/>
      <c r="DE49" s="71"/>
      <c r="DF49" s="65">
        <f t="shared" si="101"/>
        <v>300</v>
      </c>
      <c r="DG49" s="79">
        <v>1.4</v>
      </c>
      <c r="DH49" s="45" t="s">
        <v>28</v>
      </c>
      <c r="DI49" s="65">
        <f>(DE49*DF49*DG49)</f>
        <v>0</v>
      </c>
      <c r="DJ49" s="80">
        <f t="shared" si="102"/>
        <v>0</v>
      </c>
      <c r="DK49" s="6"/>
      <c r="DL49" s="4"/>
      <c r="DM49" s="4"/>
      <c r="DN49" s="6"/>
      <c r="DO49" s="59"/>
      <c r="DP49" s="43"/>
      <c r="DQ49" s="43"/>
      <c r="DR49" s="71"/>
      <c r="DS49" s="65"/>
      <c r="DT49" s="79"/>
      <c r="DU49" s="45" t="s">
        <v>28</v>
      </c>
      <c r="DV49" s="65"/>
      <c r="DW49" s="80"/>
      <c r="DX49" s="45"/>
      <c r="DY49" s="43"/>
      <c r="DZ49" s="4"/>
      <c r="EA49" s="6"/>
      <c r="EB49" s="59"/>
      <c r="EC49" s="43"/>
      <c r="ED49" s="43"/>
      <c r="EE49" s="43"/>
      <c r="EF49" s="65"/>
      <c r="EG49" s="79"/>
      <c r="EH49" s="45"/>
      <c r="EI49" s="65">
        <f t="shared" si="23"/>
        <v>0</v>
      </c>
      <c r="EJ49" s="106">
        <f t="shared" si="24"/>
        <v>0</v>
      </c>
      <c r="EK49" s="45"/>
      <c r="EL49" s="46"/>
      <c r="EM49" s="43"/>
      <c r="EN49" s="70"/>
      <c r="EO49" s="99" t="s">
        <v>601</v>
      </c>
      <c r="EP49" s="100"/>
      <c r="EQ49" s="100"/>
      <c r="ER49" s="71">
        <v>1</v>
      </c>
      <c r="ES49" s="65">
        <v>2</v>
      </c>
      <c r="ET49" s="79">
        <v>150</v>
      </c>
      <c r="EU49" s="45" t="s">
        <v>28</v>
      </c>
      <c r="EV49" s="65">
        <f t="shared" si="89"/>
        <v>300</v>
      </c>
      <c r="EW49" s="80">
        <f t="shared" si="90"/>
        <v>1500</v>
      </c>
      <c r="EX49" s="45"/>
      <c r="EY49" s="43"/>
      <c r="EZ49" s="43"/>
      <c r="FA49" s="58"/>
      <c r="FB49" s="70"/>
      <c r="FC49" s="43"/>
      <c r="FD49" s="43"/>
      <c r="FE49" s="43"/>
      <c r="FF49" s="71"/>
      <c r="FG49" s="65"/>
      <c r="FH49" s="79"/>
      <c r="FI49" s="45" t="s">
        <v>28</v>
      </c>
      <c r="FJ49" s="65">
        <f t="shared" si="93"/>
        <v>0</v>
      </c>
      <c r="FK49" s="46"/>
      <c r="FL49" s="6"/>
      <c r="FM49" s="4"/>
      <c r="FN49" s="417"/>
      <c r="FO49" s="70"/>
      <c r="FP49" s="100"/>
      <c r="FQ49" s="100"/>
      <c r="FR49" s="100"/>
      <c r="FS49" s="71"/>
      <c r="FT49" s="65"/>
      <c r="FU49" s="79"/>
      <c r="FV49" s="45" t="s">
        <v>28</v>
      </c>
      <c r="FW49" s="43"/>
      <c r="FX49" s="80"/>
      <c r="FY49" s="45"/>
      <c r="FZ49" s="4"/>
      <c r="GA49" s="421"/>
      <c r="GB49" s="70"/>
      <c r="GC49" s="43"/>
      <c r="GD49" s="43"/>
      <c r="GE49" s="43"/>
      <c r="GF49" s="71"/>
      <c r="GG49" s="65"/>
      <c r="GH49" s="79"/>
      <c r="GI49" s="45" t="s">
        <v>28</v>
      </c>
      <c r="GJ49" s="65">
        <f t="shared" si="60"/>
        <v>0</v>
      </c>
      <c r="GK49" s="80">
        <f t="shared" si="61"/>
        <v>0</v>
      </c>
      <c r="GL49" s="6"/>
      <c r="GM49" s="4"/>
      <c r="GN49" s="417"/>
      <c r="GO49" s="70"/>
      <c r="GP49" s="43"/>
      <c r="GQ49" s="43"/>
      <c r="GR49" s="43"/>
      <c r="GS49" s="71"/>
      <c r="GT49" s="71"/>
      <c r="GU49" s="71"/>
      <c r="GV49" s="45" t="s">
        <v>28</v>
      </c>
      <c r="GW49" s="65">
        <f t="shared" si="103"/>
        <v>0</v>
      </c>
      <c r="GX49" s="106">
        <f t="shared" si="99"/>
        <v>0</v>
      </c>
      <c r="GY49" s="94"/>
      <c r="GZ49" s="14">
        <f>SUM(GZ42:GZ46)</f>
        <v>0</v>
      </c>
      <c r="HA49" s="416"/>
      <c r="HB49" s="70"/>
      <c r="HC49" s="99" t="s">
        <v>321</v>
      </c>
      <c r="HD49" s="100"/>
      <c r="HE49" s="100"/>
      <c r="HF49" s="65"/>
      <c r="HG49" s="65"/>
      <c r="HH49" s="141">
        <v>75.25</v>
      </c>
      <c r="HI49" s="45" t="s">
        <v>28</v>
      </c>
      <c r="HJ49" s="65">
        <f t="shared" si="85"/>
        <v>0</v>
      </c>
      <c r="HK49" s="80">
        <f t="shared" si="86"/>
        <v>0</v>
      </c>
      <c r="HL49" s="6"/>
      <c r="HM49" s="13">
        <f>(HF49*HG49*HH50)</f>
        <v>0</v>
      </c>
      <c r="HN49" s="416"/>
      <c r="HO49" s="70"/>
      <c r="HP49" s="437" t="s">
        <v>602</v>
      </c>
      <c r="HQ49" s="438"/>
      <c r="HR49" s="439"/>
      <c r="HS49" s="440">
        <v>1</v>
      </c>
      <c r="HT49" s="440">
        <v>6</v>
      </c>
      <c r="HU49" s="441">
        <v>50</v>
      </c>
      <c r="HV49" s="442" t="s">
        <v>28</v>
      </c>
      <c r="HW49" s="440">
        <f t="shared" si="100"/>
        <v>300</v>
      </c>
      <c r="HX49" s="443">
        <f t="shared" si="95"/>
        <v>1500</v>
      </c>
      <c r="HY49" s="94"/>
      <c r="HZ49" s="4"/>
      <c r="IA49" s="70"/>
      <c r="IB49" s="112" t="s">
        <v>603</v>
      </c>
      <c r="IC49" s="100"/>
      <c r="ID49" s="100"/>
      <c r="IE49" s="65">
        <v>0</v>
      </c>
      <c r="IF49" s="65">
        <v>0</v>
      </c>
      <c r="IG49" s="79">
        <v>250</v>
      </c>
      <c r="IH49" s="45" t="s">
        <v>28</v>
      </c>
      <c r="II49" s="65">
        <f t="shared" si="81"/>
        <v>0</v>
      </c>
      <c r="IJ49" s="106">
        <f t="shared" si="78"/>
        <v>0</v>
      </c>
      <c r="IK49" s="94"/>
      <c r="IL49" s="4"/>
      <c r="IM49" s="13"/>
      <c r="IN49" s="13"/>
      <c r="IO49" s="13"/>
      <c r="IP49" s="13"/>
      <c r="IQ49" s="4"/>
      <c r="IR49" s="4"/>
      <c r="IS49" s="4"/>
      <c r="IT49" s="4"/>
      <c r="IU49" s="6" t="s">
        <v>28</v>
      </c>
      <c r="IV49" s="13">
        <f t="shared" si="92"/>
        <v>250</v>
      </c>
    </row>
    <row r="50" spans="1:256" ht="12.75">
      <c r="A50" s="225"/>
      <c r="B50" s="204"/>
      <c r="C50" s="245"/>
      <c r="D50" s="74"/>
      <c r="E50" s="74"/>
      <c r="F50" s="74"/>
      <c r="G50" s="205"/>
      <c r="H50" s="205"/>
      <c r="I50" s="205"/>
      <c r="J50" s="205"/>
      <c r="K50" s="205"/>
      <c r="L50" s="205"/>
      <c r="M50" s="205"/>
      <c r="N50" s="205"/>
      <c r="O50" s="208"/>
      <c r="P50" s="207"/>
      <c r="Q50" s="208"/>
      <c r="R50" s="209"/>
      <c r="S50" s="59"/>
      <c r="T50" s="43"/>
      <c r="U50" s="523" t="s">
        <v>604</v>
      </c>
      <c r="V50" s="526"/>
      <c r="W50" s="347"/>
      <c r="X50" s="348">
        <f>(X7+X14)</f>
        <v>0</v>
      </c>
      <c r="Y50" s="349">
        <f>(Y7+Y14)</f>
        <v>53140</v>
      </c>
      <c r="Z50" s="241">
        <f aca="true" t="shared" si="104" ref="Z50:Z55">(Y50/$BD$2)/($L$100)*1000</f>
        <v>725.9562841530054</v>
      </c>
      <c r="AA50" s="6"/>
      <c r="AB50" s="59"/>
      <c r="AC50" s="70"/>
      <c r="AD50" s="289"/>
      <c r="AE50" s="558" t="s">
        <v>605</v>
      </c>
      <c r="AF50" s="558"/>
      <c r="AG50" s="563">
        <f>Y34</f>
        <v>2025.546</v>
      </c>
      <c r="AH50" s="230"/>
      <c r="AI50" s="562" t="s">
        <v>606</v>
      </c>
      <c r="AJ50" s="565">
        <v>53140</v>
      </c>
      <c r="AK50" s="90"/>
      <c r="AL50" s="262"/>
      <c r="AM50" s="138"/>
      <c r="AN50" s="250"/>
      <c r="AO50" s="100"/>
      <c r="AP50" s="100"/>
      <c r="AQ50" s="253"/>
      <c r="AR50" s="253"/>
      <c r="AS50" s="253"/>
      <c r="AT50" s="253"/>
      <c r="AU50" s="403"/>
      <c r="AV50" s="100"/>
      <c r="AW50" s="251"/>
      <c r="AX50" s="46"/>
      <c r="AY50" s="43"/>
      <c r="AZ50" s="43"/>
      <c r="BA50" s="70"/>
      <c r="BB50" s="43"/>
      <c r="BC50" s="43"/>
      <c r="BD50" s="43"/>
      <c r="BE50" s="71"/>
      <c r="BF50" s="65"/>
      <c r="BG50" s="79"/>
      <c r="BH50" s="45" t="s">
        <v>28</v>
      </c>
      <c r="BI50" s="65">
        <f t="shared" si="40"/>
        <v>0</v>
      </c>
      <c r="BJ50" s="80">
        <f t="shared" si="36"/>
        <v>0</v>
      </c>
      <c r="BK50" s="45"/>
      <c r="BL50" s="43"/>
      <c r="BM50" s="58"/>
      <c r="BN50" s="70"/>
      <c r="BO50" s="99" t="s">
        <v>313</v>
      </c>
      <c r="BP50" s="100"/>
      <c r="BQ50" s="43"/>
      <c r="BR50" s="71">
        <f>2*0.1</f>
        <v>0.2</v>
      </c>
      <c r="BS50" s="65">
        <f t="shared" si="96"/>
        <v>385</v>
      </c>
      <c r="BT50" s="79">
        <v>0.165</v>
      </c>
      <c r="BU50" s="45" t="s">
        <v>28</v>
      </c>
      <c r="BV50" s="65">
        <f t="shared" si="97"/>
        <v>12.705</v>
      </c>
      <c r="BW50" s="80">
        <f t="shared" si="98"/>
        <v>63.525</v>
      </c>
      <c r="BX50" s="6"/>
      <c r="BY50" s="4"/>
      <c r="BZ50" s="4"/>
      <c r="CA50" s="6"/>
      <c r="CB50" s="112" t="s">
        <v>327</v>
      </c>
      <c r="CC50" s="100"/>
      <c r="CD50" s="43"/>
      <c r="CE50" s="71"/>
      <c r="CF50" s="65"/>
      <c r="CG50" s="79">
        <v>88</v>
      </c>
      <c r="CH50" s="45" t="s">
        <v>28</v>
      </c>
      <c r="CI50" s="65">
        <f t="shared" si="15"/>
        <v>0</v>
      </c>
      <c r="CJ50" s="80">
        <f t="shared" si="83"/>
        <v>0</v>
      </c>
      <c r="CK50" s="6"/>
      <c r="CL50" s="4"/>
      <c r="CM50" s="4"/>
      <c r="CN50" s="6"/>
      <c r="CO50" s="112" t="s">
        <v>607</v>
      </c>
      <c r="CP50" s="100"/>
      <c r="CQ50" s="100"/>
      <c r="CR50" s="71">
        <v>2</v>
      </c>
      <c r="CS50" s="65">
        <v>0</v>
      </c>
      <c r="CT50" s="79">
        <v>44</v>
      </c>
      <c r="CU50" s="45" t="s">
        <v>28</v>
      </c>
      <c r="CV50" s="65">
        <f t="shared" si="82"/>
        <v>88</v>
      </c>
      <c r="CW50" s="80">
        <f>(CV50/$BF$2)*1000</f>
        <v>440</v>
      </c>
      <c r="CX50" s="6"/>
      <c r="CY50" s="4"/>
      <c r="CZ50" s="11"/>
      <c r="DA50" s="6"/>
      <c r="DB50" s="112" t="s">
        <v>234</v>
      </c>
      <c r="DC50" s="100"/>
      <c r="DD50" s="43"/>
      <c r="DE50" s="71">
        <v>0</v>
      </c>
      <c r="DF50" s="65">
        <f t="shared" si="101"/>
        <v>300</v>
      </c>
      <c r="DG50" s="79">
        <v>0.225</v>
      </c>
      <c r="DH50" s="45" t="s">
        <v>28</v>
      </c>
      <c r="DI50" s="65">
        <f>(DE50*DF50*DG50)</f>
        <v>0</v>
      </c>
      <c r="DJ50" s="80">
        <f t="shared" si="102"/>
        <v>0</v>
      </c>
      <c r="DK50" s="6"/>
      <c r="DL50" s="4"/>
      <c r="DM50" s="4"/>
      <c r="DN50" s="6"/>
      <c r="DO50" s="38" t="s">
        <v>608</v>
      </c>
      <c r="DP50" s="36"/>
      <c r="DQ50" s="339">
        <f>($DS$9)</f>
        <v>60</v>
      </c>
      <c r="DR50" s="127" t="s">
        <v>72</v>
      </c>
      <c r="DS50" s="65"/>
      <c r="DT50" s="79"/>
      <c r="DU50" s="45" t="s">
        <v>28</v>
      </c>
      <c r="DV50" s="65"/>
      <c r="DW50" s="80"/>
      <c r="DX50" s="45"/>
      <c r="DY50" s="43"/>
      <c r="DZ50" s="4"/>
      <c r="EA50" s="6"/>
      <c r="EB50" s="59"/>
      <c r="EC50" s="43"/>
      <c r="ED50" s="43"/>
      <c r="EE50" s="43"/>
      <c r="EF50" s="65"/>
      <c r="EG50" s="79"/>
      <c r="EH50" s="45"/>
      <c r="EI50" s="65">
        <f t="shared" si="23"/>
        <v>0</v>
      </c>
      <c r="EJ50" s="106">
        <f t="shared" si="24"/>
        <v>0</v>
      </c>
      <c r="EK50" s="45"/>
      <c r="EL50" s="46"/>
      <c r="EM50" s="43"/>
      <c r="EN50" s="70"/>
      <c r="EO50" s="99" t="s">
        <v>609</v>
      </c>
      <c r="EP50" s="100"/>
      <c r="EQ50" s="100"/>
      <c r="ER50" s="71">
        <v>0</v>
      </c>
      <c r="ES50" s="65">
        <v>0</v>
      </c>
      <c r="ET50" s="79">
        <v>150</v>
      </c>
      <c r="EU50" s="45" t="s">
        <v>28</v>
      </c>
      <c r="EV50" s="65">
        <f t="shared" si="89"/>
        <v>0</v>
      </c>
      <c r="EW50" s="80">
        <f t="shared" si="90"/>
        <v>0</v>
      </c>
      <c r="EX50" s="45"/>
      <c r="EY50" s="43"/>
      <c r="EZ50" s="43"/>
      <c r="FA50" s="58"/>
      <c r="FB50" s="70"/>
      <c r="FC50" s="43"/>
      <c r="FD50" s="43"/>
      <c r="FE50" s="43"/>
      <c r="FF50" s="71"/>
      <c r="FG50" s="65"/>
      <c r="FH50" s="79"/>
      <c r="FI50" s="45" t="s">
        <v>28</v>
      </c>
      <c r="FJ50" s="65">
        <f t="shared" si="93"/>
        <v>0</v>
      </c>
      <c r="FK50" s="80">
        <f t="shared" si="94"/>
        <v>0</v>
      </c>
      <c r="FL50" s="6"/>
      <c r="FM50" s="4"/>
      <c r="FN50" s="417"/>
      <c r="FO50" s="70"/>
      <c r="FP50" s="100"/>
      <c r="FQ50" s="100"/>
      <c r="FR50" s="100"/>
      <c r="FS50" s="71"/>
      <c r="FT50" s="65"/>
      <c r="FU50" s="79"/>
      <c r="FV50" s="45" t="s">
        <v>28</v>
      </c>
      <c r="FW50" s="43"/>
      <c r="FX50" s="80"/>
      <c r="FY50" s="45"/>
      <c r="FZ50" s="4"/>
      <c r="GA50" s="421"/>
      <c r="GB50" s="70"/>
      <c r="GC50" s="43"/>
      <c r="GD50" s="43"/>
      <c r="GE50" s="43"/>
      <c r="GF50" s="71"/>
      <c r="GG50" s="65"/>
      <c r="GH50" s="79"/>
      <c r="GI50" s="45" t="s">
        <v>28</v>
      </c>
      <c r="GJ50" s="65">
        <f t="shared" si="60"/>
        <v>0</v>
      </c>
      <c r="GK50" s="80">
        <f t="shared" si="61"/>
        <v>0</v>
      </c>
      <c r="GL50" s="6"/>
      <c r="GM50" s="4"/>
      <c r="GN50" s="417"/>
      <c r="GO50" s="70"/>
      <c r="GP50" s="43"/>
      <c r="GQ50" s="43"/>
      <c r="GR50" s="43"/>
      <c r="GS50" s="71"/>
      <c r="GT50" s="71"/>
      <c r="GU50" s="71"/>
      <c r="GV50" s="45" t="s">
        <v>28</v>
      </c>
      <c r="GW50" s="65">
        <f t="shared" si="103"/>
        <v>0</v>
      </c>
      <c r="GX50" s="106">
        <f t="shared" si="99"/>
        <v>0</v>
      </c>
      <c r="GY50" s="94"/>
      <c r="GZ50" s="13"/>
      <c r="HA50" s="416"/>
      <c r="HB50" s="70"/>
      <c r="HC50" s="99" t="s">
        <v>337</v>
      </c>
      <c r="HD50" s="100"/>
      <c r="HE50" s="100"/>
      <c r="HF50" s="65"/>
      <c r="HG50" s="65"/>
      <c r="HH50" s="141">
        <v>86.625</v>
      </c>
      <c r="HI50" s="45" t="s">
        <v>28</v>
      </c>
      <c r="HJ50" s="65">
        <f t="shared" si="85"/>
        <v>0</v>
      </c>
      <c r="HK50" s="80">
        <f t="shared" si="86"/>
        <v>0</v>
      </c>
      <c r="HL50" s="6"/>
      <c r="HM50" s="13">
        <f>(HF50*HG50*HH50)</f>
        <v>0</v>
      </c>
      <c r="HN50" s="416"/>
      <c r="HO50" s="70"/>
      <c r="HP50" s="437" t="s">
        <v>610</v>
      </c>
      <c r="HQ50" s="438"/>
      <c r="HR50" s="439"/>
      <c r="HS50" s="440">
        <v>1</v>
      </c>
      <c r="HT50" s="440">
        <v>2</v>
      </c>
      <c r="HU50" s="441">
        <v>25</v>
      </c>
      <c r="HV50" s="442" t="s">
        <v>28</v>
      </c>
      <c r="HW50" s="440">
        <f t="shared" si="100"/>
        <v>50</v>
      </c>
      <c r="HX50" s="443">
        <f t="shared" si="95"/>
        <v>250</v>
      </c>
      <c r="HY50" s="94"/>
      <c r="HZ50" s="4"/>
      <c r="IA50" s="70"/>
      <c r="IB50" s="112" t="s">
        <v>611</v>
      </c>
      <c r="IC50" s="100"/>
      <c r="ID50" s="100"/>
      <c r="IE50" s="65">
        <v>2</v>
      </c>
      <c r="IF50" s="65">
        <v>6</v>
      </c>
      <c r="IG50" s="79">
        <v>50</v>
      </c>
      <c r="IH50" s="45" t="s">
        <v>28</v>
      </c>
      <c r="II50" s="65">
        <f t="shared" si="81"/>
        <v>300</v>
      </c>
      <c r="IJ50" s="106">
        <f t="shared" si="78"/>
        <v>1500</v>
      </c>
      <c r="IK50" s="94"/>
      <c r="IL50" s="4"/>
      <c r="IM50" s="13"/>
      <c r="IN50" s="13"/>
      <c r="IO50" s="13"/>
      <c r="IP50" s="13"/>
      <c r="IQ50" s="4"/>
      <c r="IR50" s="4"/>
      <c r="IS50" s="4"/>
      <c r="IT50" s="4"/>
      <c r="IU50" s="6" t="s">
        <v>28</v>
      </c>
      <c r="IV50" s="13">
        <f>(IF48*IG48)</f>
        <v>250</v>
      </c>
    </row>
    <row r="51" spans="1:256" ht="12.75">
      <c r="A51" s="225"/>
      <c r="B51" s="204"/>
      <c r="C51" s="245"/>
      <c r="D51" s="74"/>
      <c r="E51" s="74"/>
      <c r="F51" s="74"/>
      <c r="G51" s="205"/>
      <c r="H51" s="205"/>
      <c r="I51" s="205"/>
      <c r="J51" s="205"/>
      <c r="K51" s="205"/>
      <c r="L51" s="205"/>
      <c r="M51" s="213"/>
      <c r="N51" s="213"/>
      <c r="O51" s="208"/>
      <c r="P51" s="207"/>
      <c r="Q51" s="208"/>
      <c r="R51" s="209"/>
      <c r="S51" s="59"/>
      <c r="T51" s="43"/>
      <c r="U51" s="524" t="s">
        <v>612</v>
      </c>
      <c r="V51" s="527"/>
      <c r="W51" s="261"/>
      <c r="X51" s="350">
        <f>(X16+X20+X34+X35+X37+X44)</f>
        <v>0</v>
      </c>
      <c r="Y51" s="351">
        <f>(Y16+Y20+Y34+Y28)</f>
        <v>62686.54209727999</v>
      </c>
      <c r="Z51" s="241">
        <f t="shared" si="104"/>
        <v>856.3735259191257</v>
      </c>
      <c r="AA51" s="6"/>
      <c r="AB51" s="66"/>
      <c r="AC51" s="70"/>
      <c r="AD51" s="289"/>
      <c r="AE51" s="558" t="s">
        <v>613</v>
      </c>
      <c r="AF51" s="558"/>
      <c r="AG51" s="563">
        <f>Y46</f>
        <v>1000</v>
      </c>
      <c r="AH51" s="231"/>
      <c r="AI51" s="563" t="s">
        <v>614</v>
      </c>
      <c r="AJ51" s="565">
        <v>6773</v>
      </c>
      <c r="AK51" s="90"/>
      <c r="AL51" s="262"/>
      <c r="AM51" s="138"/>
      <c r="AN51" s="250"/>
      <c r="AO51" s="100"/>
      <c r="AP51" s="100"/>
      <c r="AQ51" s="254" t="s">
        <v>615</v>
      </c>
      <c r="AR51" s="255"/>
      <c r="AS51" s="255"/>
      <c r="AT51" s="256" t="s">
        <v>70</v>
      </c>
      <c r="AU51" s="403"/>
      <c r="AV51" s="100"/>
      <c r="AW51" s="251"/>
      <c r="AX51" s="46"/>
      <c r="AY51" s="43"/>
      <c r="AZ51" s="43"/>
      <c r="BA51" s="70"/>
      <c r="BB51" s="43"/>
      <c r="BC51" s="43"/>
      <c r="BD51" s="43"/>
      <c r="BE51" s="71"/>
      <c r="BF51" s="65"/>
      <c r="BG51" s="79"/>
      <c r="BH51" s="45" t="s">
        <v>28</v>
      </c>
      <c r="BI51" s="65">
        <f t="shared" si="40"/>
        <v>0</v>
      </c>
      <c r="BJ51" s="80">
        <f t="shared" si="36"/>
        <v>0</v>
      </c>
      <c r="BK51" s="45"/>
      <c r="BL51" s="43"/>
      <c r="BM51" s="58"/>
      <c r="BN51" s="70"/>
      <c r="BO51" s="99" t="s">
        <v>326</v>
      </c>
      <c r="BP51" s="100"/>
      <c r="BQ51" s="43"/>
      <c r="BR51" s="71">
        <v>2</v>
      </c>
      <c r="BS51" s="65">
        <f t="shared" si="96"/>
        <v>385</v>
      </c>
      <c r="BT51" s="79">
        <v>0.123</v>
      </c>
      <c r="BU51" s="45" t="s">
        <v>28</v>
      </c>
      <c r="BV51" s="65">
        <f t="shared" si="97"/>
        <v>94.71</v>
      </c>
      <c r="BW51" s="80">
        <f t="shared" si="98"/>
        <v>473.54999999999995</v>
      </c>
      <c r="BX51" s="6"/>
      <c r="BY51" s="4"/>
      <c r="BZ51" s="4"/>
      <c r="CA51" s="6"/>
      <c r="CB51" s="112" t="s">
        <v>616</v>
      </c>
      <c r="CC51" s="100"/>
      <c r="CD51" s="43"/>
      <c r="CE51" s="71"/>
      <c r="CF51" s="65"/>
      <c r="CG51" s="79">
        <v>107.36</v>
      </c>
      <c r="CH51" s="45" t="s">
        <v>28</v>
      </c>
      <c r="CI51" s="65">
        <f t="shared" si="15"/>
        <v>0</v>
      </c>
      <c r="CJ51" s="80">
        <f t="shared" si="83"/>
        <v>0</v>
      </c>
      <c r="CK51" s="6"/>
      <c r="CL51" s="4"/>
      <c r="CM51" s="4"/>
      <c r="CN51" s="6"/>
      <c r="CO51" s="112" t="s">
        <v>617</v>
      </c>
      <c r="CP51" s="100"/>
      <c r="CQ51" s="100"/>
      <c r="CR51" s="71">
        <v>2</v>
      </c>
      <c r="CS51" s="65"/>
      <c r="CT51" s="79">
        <v>1345</v>
      </c>
      <c r="CU51" s="45" t="s">
        <v>28</v>
      </c>
      <c r="CV51" s="65">
        <f t="shared" si="82"/>
        <v>2690</v>
      </c>
      <c r="CW51" s="80">
        <f>(CV51/$BF$2)*1000</f>
        <v>13450</v>
      </c>
      <c r="CX51" s="6"/>
      <c r="CY51" s="4"/>
      <c r="CZ51" s="11"/>
      <c r="DA51" s="6"/>
      <c r="DB51" s="112" t="s">
        <v>253</v>
      </c>
      <c r="DC51" s="100"/>
      <c r="DD51" s="43"/>
      <c r="DE51" s="71">
        <v>4</v>
      </c>
      <c r="DF51" s="65">
        <f t="shared" si="101"/>
        <v>300</v>
      </c>
      <c r="DG51" s="79">
        <v>0.05</v>
      </c>
      <c r="DH51" s="45" t="s">
        <v>28</v>
      </c>
      <c r="DI51" s="65">
        <f>(DE51*DF51*DG51)</f>
        <v>60</v>
      </c>
      <c r="DJ51" s="80">
        <f t="shared" si="102"/>
        <v>300</v>
      </c>
      <c r="DK51" s="6"/>
      <c r="DL51" s="4"/>
      <c r="DM51" s="4"/>
      <c r="DN51" s="6"/>
      <c r="DO51" s="112" t="s">
        <v>618</v>
      </c>
      <c r="DP51" s="100"/>
      <c r="DQ51" s="43"/>
      <c r="DR51" s="71">
        <f>2*2</f>
        <v>4</v>
      </c>
      <c r="DS51" s="65">
        <v>3</v>
      </c>
      <c r="DT51" s="79">
        <v>10.8</v>
      </c>
      <c r="DU51" s="45" t="s">
        <v>28</v>
      </c>
      <c r="DV51" s="65">
        <f>(DR51*DS51*DT51)</f>
        <v>129.60000000000002</v>
      </c>
      <c r="DW51" s="80">
        <f>(DV51/$BF$2)*1000</f>
        <v>648.0000000000001</v>
      </c>
      <c r="DX51" s="45"/>
      <c r="DY51" s="43"/>
      <c r="DZ51" s="4"/>
      <c r="EA51" s="6"/>
      <c r="EB51" s="59"/>
      <c r="EC51" s="43"/>
      <c r="ED51" s="43"/>
      <c r="EE51" s="43"/>
      <c r="EF51" s="65"/>
      <c r="EG51" s="79"/>
      <c r="EH51" s="45"/>
      <c r="EI51" s="65">
        <f t="shared" si="23"/>
        <v>0</v>
      </c>
      <c r="EJ51" s="106">
        <f t="shared" si="24"/>
        <v>0</v>
      </c>
      <c r="EK51" s="45"/>
      <c r="EL51" s="46"/>
      <c r="EM51" s="43"/>
      <c r="EN51" s="70"/>
      <c r="EO51" s="99"/>
      <c r="EP51" s="100"/>
      <c r="EQ51" s="100"/>
      <c r="ER51" s="71"/>
      <c r="ES51" s="65"/>
      <c r="ET51" s="79">
        <v>0</v>
      </c>
      <c r="EU51" s="45" t="s">
        <v>28</v>
      </c>
      <c r="EV51" s="65">
        <f t="shared" si="89"/>
        <v>0</v>
      </c>
      <c r="EW51" s="80">
        <f t="shared" si="90"/>
        <v>0</v>
      </c>
      <c r="EX51" s="45"/>
      <c r="EY51" s="43"/>
      <c r="EZ51" s="43"/>
      <c r="FA51" s="58"/>
      <c r="FB51" s="70"/>
      <c r="FC51" s="43"/>
      <c r="FD51" s="43"/>
      <c r="FE51" s="43"/>
      <c r="FF51" s="71"/>
      <c r="FG51" s="65"/>
      <c r="FH51" s="79"/>
      <c r="FI51" s="45" t="s">
        <v>28</v>
      </c>
      <c r="FJ51" s="65">
        <f t="shared" si="93"/>
        <v>0</v>
      </c>
      <c r="FK51" s="80">
        <f t="shared" si="94"/>
        <v>0</v>
      </c>
      <c r="FL51" s="6"/>
      <c r="FM51" s="4"/>
      <c r="FN51" s="417"/>
      <c r="FO51" s="70"/>
      <c r="FP51" s="100"/>
      <c r="FQ51" s="100"/>
      <c r="FR51" s="100"/>
      <c r="FS51" s="71"/>
      <c r="FT51" s="65"/>
      <c r="FU51" s="79"/>
      <c r="FV51" s="45" t="s">
        <v>28</v>
      </c>
      <c r="FW51" s="43"/>
      <c r="FX51" s="80"/>
      <c r="FY51" s="45"/>
      <c r="FZ51" s="4"/>
      <c r="GA51" s="421"/>
      <c r="GB51" s="70"/>
      <c r="GC51" s="43"/>
      <c r="GD51" s="43"/>
      <c r="GE51" s="43"/>
      <c r="GF51" s="71"/>
      <c r="GG51" s="65"/>
      <c r="GH51" s="79"/>
      <c r="GI51" s="45" t="s">
        <v>28</v>
      </c>
      <c r="GJ51" s="65">
        <f t="shared" si="60"/>
        <v>0</v>
      </c>
      <c r="GK51" s="80">
        <f t="shared" si="61"/>
        <v>0</v>
      </c>
      <c r="GL51" s="6"/>
      <c r="GM51" s="4"/>
      <c r="GN51" s="417"/>
      <c r="GO51" s="70"/>
      <c r="GP51" s="43"/>
      <c r="GQ51" s="43"/>
      <c r="GR51" s="43"/>
      <c r="GS51" s="71"/>
      <c r="GT51" s="71"/>
      <c r="GU51" s="71"/>
      <c r="GV51" s="45" t="s">
        <v>28</v>
      </c>
      <c r="GW51" s="65">
        <f t="shared" si="103"/>
        <v>0</v>
      </c>
      <c r="GX51" s="106">
        <f t="shared" si="99"/>
        <v>0</v>
      </c>
      <c r="GY51" s="94"/>
      <c r="GZ51" s="4"/>
      <c r="HA51" s="416"/>
      <c r="HB51" s="70"/>
      <c r="HC51" s="99" t="s">
        <v>355</v>
      </c>
      <c r="HD51" s="100"/>
      <c r="HE51" s="100"/>
      <c r="HF51" s="65"/>
      <c r="HG51" s="65"/>
      <c r="HH51" s="141">
        <v>99.75</v>
      </c>
      <c r="HI51" s="45" t="s">
        <v>28</v>
      </c>
      <c r="HJ51" s="65">
        <f t="shared" si="85"/>
        <v>0</v>
      </c>
      <c r="HK51" s="80">
        <f t="shared" si="86"/>
        <v>0</v>
      </c>
      <c r="HL51" s="6"/>
      <c r="HM51" s="13">
        <f>(HF51*HG51*HH51)</f>
        <v>0</v>
      </c>
      <c r="HN51" s="416"/>
      <c r="HO51" s="70"/>
      <c r="HP51" s="444" t="s">
        <v>619</v>
      </c>
      <c r="HQ51" s="438"/>
      <c r="HR51" s="439"/>
      <c r="HS51" s="440">
        <v>1</v>
      </c>
      <c r="HT51" s="440">
        <v>7</v>
      </c>
      <c r="HU51" s="441">
        <v>20</v>
      </c>
      <c r="HV51" s="442" t="s">
        <v>28</v>
      </c>
      <c r="HW51" s="440">
        <f t="shared" si="100"/>
        <v>140</v>
      </c>
      <c r="HX51" s="443">
        <f t="shared" si="95"/>
        <v>700</v>
      </c>
      <c r="HY51" s="94"/>
      <c r="HZ51" s="4"/>
      <c r="IA51" s="70"/>
      <c r="IB51" s="534" t="s">
        <v>620</v>
      </c>
      <c r="IC51" s="456"/>
      <c r="ID51" s="457"/>
      <c r="IE51" s="36"/>
      <c r="IF51" s="62"/>
      <c r="IG51" s="478">
        <v>1000</v>
      </c>
      <c r="IH51" s="45" t="s">
        <v>28</v>
      </c>
      <c r="II51" s="65"/>
      <c r="IJ51" s="106"/>
      <c r="IK51" s="94"/>
      <c r="IL51" s="4"/>
      <c r="IM51" s="13"/>
      <c r="IN51" s="13"/>
      <c r="IO51" s="13"/>
      <c r="IP51" s="13"/>
      <c r="IQ51" s="4"/>
      <c r="IR51" s="4"/>
      <c r="IS51" s="4"/>
      <c r="IT51" s="4"/>
      <c r="IU51" s="6" t="s">
        <v>28</v>
      </c>
      <c r="IV51" s="13">
        <f>(IF49*IG49)</f>
        <v>0</v>
      </c>
    </row>
    <row r="52" spans="1:256" ht="12.75">
      <c r="A52" s="225"/>
      <c r="B52" s="204"/>
      <c r="C52" s="24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8"/>
      <c r="P52" s="207"/>
      <c r="Q52" s="208"/>
      <c r="R52" s="209"/>
      <c r="S52" s="59"/>
      <c r="T52" s="43"/>
      <c r="U52" s="524" t="s">
        <v>621</v>
      </c>
      <c r="V52" s="527"/>
      <c r="W52" s="261"/>
      <c r="X52" s="350">
        <f>(X37)</f>
        <v>0</v>
      </c>
      <c r="Y52" s="351">
        <f>(Y37)</f>
        <v>7525.8060000000005</v>
      </c>
      <c r="Z52" s="241">
        <f t="shared" si="104"/>
        <v>102.81155737704918</v>
      </c>
      <c r="AA52" s="6"/>
      <c r="AB52" s="59"/>
      <c r="AC52" s="70"/>
      <c r="AD52" s="289"/>
      <c r="AE52" s="558" t="s">
        <v>622</v>
      </c>
      <c r="AF52" s="558"/>
      <c r="AG52" s="563">
        <f>Y25</f>
        <v>6000</v>
      </c>
      <c r="AH52" s="258"/>
      <c r="AI52" s="571" t="s">
        <v>623</v>
      </c>
      <c r="AJ52" s="565">
        <v>55680</v>
      </c>
      <c r="AK52" s="90"/>
      <c r="AL52" s="262"/>
      <c r="AM52" s="138"/>
      <c r="AN52" s="250"/>
      <c r="AO52" s="100"/>
      <c r="AP52" s="98" t="s">
        <v>624</v>
      </c>
      <c r="AQ52" s="99" t="s">
        <v>625</v>
      </c>
      <c r="AR52" s="100"/>
      <c r="AS52" s="100"/>
      <c r="AT52" s="413">
        <v>350</v>
      </c>
      <c r="AU52" s="334" t="s">
        <v>72</v>
      </c>
      <c r="AV52" s="100"/>
      <c r="AW52" s="251"/>
      <c r="AX52" s="46"/>
      <c r="AY52" s="43"/>
      <c r="AZ52" s="43"/>
      <c r="BA52" s="70"/>
      <c r="BB52" s="44" t="s">
        <v>626</v>
      </c>
      <c r="BC52" s="43"/>
      <c r="BD52" s="43"/>
      <c r="BE52" s="71"/>
      <c r="BF52" s="65"/>
      <c r="BG52" s="79"/>
      <c r="BH52" s="45" t="s">
        <v>28</v>
      </c>
      <c r="BI52" s="65">
        <f t="shared" si="40"/>
        <v>0</v>
      </c>
      <c r="BJ52" s="80">
        <f t="shared" si="36"/>
        <v>0</v>
      </c>
      <c r="BK52" s="45"/>
      <c r="BL52" s="43"/>
      <c r="BM52" s="58"/>
      <c r="BN52" s="70"/>
      <c r="BO52" s="99" t="s">
        <v>345</v>
      </c>
      <c r="BP52" s="100"/>
      <c r="BQ52" s="43"/>
      <c r="BR52" s="71">
        <v>2</v>
      </c>
      <c r="BS52" s="65">
        <f t="shared" si="96"/>
        <v>385</v>
      </c>
      <c r="BT52" s="79">
        <f>$BT$12</f>
        <v>2.5</v>
      </c>
      <c r="BU52" s="45" t="s">
        <v>28</v>
      </c>
      <c r="BV52" s="65">
        <f>(BR52*(BS52/5)*BT52)+(BR50*BS50/5*BT50)</f>
        <v>387.541</v>
      </c>
      <c r="BW52" s="80">
        <f t="shared" si="98"/>
        <v>1937.705</v>
      </c>
      <c r="BX52" s="6"/>
      <c r="BY52" s="11">
        <f>(BR52*BS52/5+BR50*BS50/5)</f>
        <v>169.4</v>
      </c>
      <c r="BZ52" s="4"/>
      <c r="CA52" s="6"/>
      <c r="CB52" s="112" t="s">
        <v>627</v>
      </c>
      <c r="CC52" s="100"/>
      <c r="CD52" s="43"/>
      <c r="CE52" s="71"/>
      <c r="CF52" s="65"/>
      <c r="CG52" s="79">
        <v>126.5</v>
      </c>
      <c r="CH52" s="45" t="s">
        <v>28</v>
      </c>
      <c r="CI52" s="65">
        <f t="shared" si="15"/>
        <v>0</v>
      </c>
      <c r="CJ52" s="80">
        <f t="shared" si="83"/>
        <v>0</v>
      </c>
      <c r="CK52" s="6"/>
      <c r="CL52" s="4"/>
      <c r="CM52" s="4"/>
      <c r="CN52" s="6"/>
      <c r="CO52" s="112" t="s">
        <v>220</v>
      </c>
      <c r="CP52" s="100"/>
      <c r="CQ52" s="100"/>
      <c r="CR52" s="71">
        <v>2</v>
      </c>
      <c r="CS52" s="65"/>
      <c r="CT52" s="79">
        <v>300</v>
      </c>
      <c r="CU52" s="45" t="s">
        <v>28</v>
      </c>
      <c r="CV52" s="65">
        <f t="shared" si="82"/>
        <v>600</v>
      </c>
      <c r="CW52" s="80">
        <f>(CV52/$BF$2)*1000</f>
        <v>3000</v>
      </c>
      <c r="CX52" s="6"/>
      <c r="CY52" s="4"/>
      <c r="CZ52" s="11"/>
      <c r="DA52" s="6"/>
      <c r="DB52" s="112" t="s">
        <v>267</v>
      </c>
      <c r="DC52" s="100"/>
      <c r="DD52" s="43"/>
      <c r="DE52" s="71">
        <v>4</v>
      </c>
      <c r="DF52" s="65">
        <f t="shared" si="101"/>
        <v>300</v>
      </c>
      <c r="DG52" s="79">
        <f>$DJ$8</f>
        <v>2</v>
      </c>
      <c r="DH52" s="45" t="s">
        <v>28</v>
      </c>
      <c r="DI52" s="65">
        <f>(DE52*(DF52/5)*DG52)</f>
        <v>480</v>
      </c>
      <c r="DJ52" s="80">
        <f t="shared" si="102"/>
        <v>2400</v>
      </c>
      <c r="DK52" s="6"/>
      <c r="DL52" s="11">
        <f>(DE52*DF52/5)</f>
        <v>240</v>
      </c>
      <c r="DM52" s="4"/>
      <c r="DN52" s="6"/>
      <c r="DO52" s="112" t="s">
        <v>628</v>
      </c>
      <c r="DP52" s="100"/>
      <c r="DQ52" s="43"/>
      <c r="DR52" s="71">
        <f>0.2*2</f>
        <v>0.4</v>
      </c>
      <c r="DS52" s="342">
        <f>($DS$9)</f>
        <v>60</v>
      </c>
      <c r="DT52" s="79">
        <v>1.54</v>
      </c>
      <c r="DU52" s="45" t="s">
        <v>28</v>
      </c>
      <c r="DV52" s="65">
        <f>(DR52*DS52*DT52)</f>
        <v>36.96</v>
      </c>
      <c r="DW52" s="80">
        <f>(DV52/$BF$2)*1000</f>
        <v>184.79999999999998</v>
      </c>
      <c r="DX52" s="45"/>
      <c r="DY52" s="43"/>
      <c r="DZ52" s="4"/>
      <c r="EA52" s="6"/>
      <c r="EB52" s="59"/>
      <c r="EC52" s="43"/>
      <c r="ED52" s="43"/>
      <c r="EE52" s="43"/>
      <c r="EF52" s="65"/>
      <c r="EG52" s="79"/>
      <c r="EH52" s="45"/>
      <c r="EI52" s="65">
        <f t="shared" si="23"/>
        <v>0</v>
      </c>
      <c r="EJ52" s="106">
        <f t="shared" si="24"/>
        <v>0</v>
      </c>
      <c r="EK52" s="45"/>
      <c r="EL52" s="46"/>
      <c r="EM52" s="43"/>
      <c r="EN52" s="70"/>
      <c r="EO52" s="99"/>
      <c r="EP52" s="100"/>
      <c r="EQ52" s="100"/>
      <c r="ER52" s="71"/>
      <c r="ES52" s="65"/>
      <c r="ET52" s="79">
        <v>0</v>
      </c>
      <c r="EU52" s="45" t="s">
        <v>28</v>
      </c>
      <c r="EV52" s="65">
        <f t="shared" si="89"/>
        <v>0</v>
      </c>
      <c r="EW52" s="80">
        <f t="shared" si="90"/>
        <v>0</v>
      </c>
      <c r="EX52" s="45"/>
      <c r="EY52" s="43"/>
      <c r="EZ52" s="43"/>
      <c r="FA52" s="58"/>
      <c r="FB52" s="70"/>
      <c r="FC52" s="43"/>
      <c r="FD52" s="43"/>
      <c r="FE52" s="43"/>
      <c r="FF52" s="71"/>
      <c r="FG52" s="65"/>
      <c r="FH52" s="79"/>
      <c r="FI52" s="45" t="s">
        <v>28</v>
      </c>
      <c r="FJ52" s="65">
        <f t="shared" si="93"/>
        <v>0</v>
      </c>
      <c r="FK52" s="80">
        <f t="shared" si="94"/>
        <v>0</v>
      </c>
      <c r="FL52" s="6"/>
      <c r="FM52" s="4"/>
      <c r="FN52" s="417"/>
      <c r="FO52" s="70"/>
      <c r="FP52" s="100"/>
      <c r="FQ52" s="100"/>
      <c r="FR52" s="100"/>
      <c r="FS52" s="71"/>
      <c r="FT52" s="65"/>
      <c r="FU52" s="137"/>
      <c r="FV52" s="45" t="s">
        <v>28</v>
      </c>
      <c r="FW52" s="43"/>
      <c r="FX52" s="80"/>
      <c r="FY52" s="45"/>
      <c r="FZ52" s="4"/>
      <c r="GA52" s="421"/>
      <c r="GB52" s="70"/>
      <c r="GC52" s="43"/>
      <c r="GD52" s="43"/>
      <c r="GE52" s="43"/>
      <c r="GF52" s="71"/>
      <c r="GG52" s="65"/>
      <c r="GH52" s="79"/>
      <c r="GI52" s="45" t="s">
        <v>28</v>
      </c>
      <c r="GJ52" s="65">
        <f t="shared" si="60"/>
        <v>0</v>
      </c>
      <c r="GK52" s="80">
        <f t="shared" si="61"/>
        <v>0</v>
      </c>
      <c r="GL52" s="6"/>
      <c r="GM52" s="4"/>
      <c r="GN52" s="417"/>
      <c r="GO52" s="70"/>
      <c r="GP52" s="43"/>
      <c r="GQ52" s="43"/>
      <c r="GR52" s="43"/>
      <c r="GS52" s="71"/>
      <c r="GT52" s="71"/>
      <c r="GU52" s="71"/>
      <c r="GV52" s="45" t="s">
        <v>28</v>
      </c>
      <c r="GW52" s="65">
        <f t="shared" si="103"/>
        <v>0</v>
      </c>
      <c r="GX52" s="106">
        <f t="shared" si="99"/>
        <v>0</v>
      </c>
      <c r="GY52" s="94"/>
      <c r="GZ52" s="4"/>
      <c r="HA52" s="416"/>
      <c r="HB52" s="70"/>
      <c r="HC52" s="99" t="s">
        <v>368</v>
      </c>
      <c r="HD52" s="100"/>
      <c r="HE52" s="100"/>
      <c r="HF52" s="65"/>
      <c r="HG52" s="65"/>
      <c r="HH52" s="141">
        <v>112.875</v>
      </c>
      <c r="HI52" s="45" t="s">
        <v>28</v>
      </c>
      <c r="HJ52" s="65">
        <f t="shared" si="85"/>
        <v>0</v>
      </c>
      <c r="HK52" s="80">
        <f t="shared" si="86"/>
        <v>0</v>
      </c>
      <c r="HL52" s="6"/>
      <c r="HM52" s="13">
        <f>(HF52*HG52*HH52)</f>
        <v>0</v>
      </c>
      <c r="HN52" s="416"/>
      <c r="HO52" s="70"/>
      <c r="HP52" s="444" t="s">
        <v>629</v>
      </c>
      <c r="HQ52" s="438"/>
      <c r="HR52" s="439"/>
      <c r="HS52" s="440">
        <v>1</v>
      </c>
      <c r="HT52" s="440">
        <v>20</v>
      </c>
      <c r="HU52" s="441">
        <v>2</v>
      </c>
      <c r="HV52" s="442" t="s">
        <v>28</v>
      </c>
      <c r="HW52" s="440">
        <f t="shared" si="100"/>
        <v>40</v>
      </c>
      <c r="HX52" s="443">
        <f t="shared" si="95"/>
        <v>200</v>
      </c>
      <c r="HY52" s="94"/>
      <c r="HZ52" s="4"/>
      <c r="IA52" s="70"/>
      <c r="IB52" s="59"/>
      <c r="IC52" s="43"/>
      <c r="ID52" s="43"/>
      <c r="IE52" s="43"/>
      <c r="IF52" s="65"/>
      <c r="IG52" s="79"/>
      <c r="IH52" s="45" t="s">
        <v>28</v>
      </c>
      <c r="II52" s="65"/>
      <c r="IJ52" s="106"/>
      <c r="IK52" s="94"/>
      <c r="IL52" s="4"/>
      <c r="IM52" s="13"/>
      <c r="IN52" s="13"/>
      <c r="IO52" s="13"/>
      <c r="IP52" s="13"/>
      <c r="IQ52" s="4"/>
      <c r="IR52" s="4"/>
      <c r="IS52" s="4"/>
      <c r="IT52" s="4"/>
      <c r="IU52" s="6" t="s">
        <v>28</v>
      </c>
      <c r="IV52" s="13">
        <f>(IF50*IG50)</f>
        <v>300</v>
      </c>
    </row>
    <row r="53" spans="1:256" ht="13.5" thickBot="1">
      <c r="A53" s="225"/>
      <c r="B53" s="204"/>
      <c r="C53" s="24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8"/>
      <c r="P53" s="207"/>
      <c r="Q53" s="208"/>
      <c r="R53" s="209"/>
      <c r="S53" s="59"/>
      <c r="T53" s="43"/>
      <c r="U53" s="524" t="s">
        <v>630</v>
      </c>
      <c r="V53" s="527"/>
      <c r="W53" s="261"/>
      <c r="X53" s="350">
        <f>(X35)</f>
        <v>0</v>
      </c>
      <c r="Y53" s="351">
        <f>(Y35)</f>
        <v>6000</v>
      </c>
      <c r="Z53" s="241">
        <f t="shared" si="104"/>
        <v>81.96721311475409</v>
      </c>
      <c r="AA53" s="6"/>
      <c r="AB53" s="59"/>
      <c r="AC53" s="70"/>
      <c r="AD53" s="289"/>
      <c r="AE53" s="560" t="s">
        <v>631</v>
      </c>
      <c r="AF53" s="560"/>
      <c r="AG53" s="570">
        <f>Y26</f>
        <v>700</v>
      </c>
      <c r="AH53" s="230"/>
      <c r="AI53" s="564"/>
      <c r="AJ53" s="565"/>
      <c r="AK53" s="90"/>
      <c r="AL53" s="262"/>
      <c r="AM53" s="138"/>
      <c r="AN53" s="250"/>
      <c r="AO53" s="100"/>
      <c r="AP53" s="98" t="s">
        <v>632</v>
      </c>
      <c r="AQ53" s="99" t="s">
        <v>633</v>
      </c>
      <c r="AR53" s="100"/>
      <c r="AS53" s="100"/>
      <c r="AT53" s="410">
        <v>200</v>
      </c>
      <c r="AU53" s="334" t="s">
        <v>72</v>
      </c>
      <c r="AV53" s="100"/>
      <c r="AW53" s="251"/>
      <c r="AX53" s="46"/>
      <c r="AY53" s="43"/>
      <c r="AZ53" s="43"/>
      <c r="BA53" s="70"/>
      <c r="BB53" s="44" t="s">
        <v>634</v>
      </c>
      <c r="BC53" s="58">
        <v>15000</v>
      </c>
      <c r="BD53" s="44" t="s">
        <v>635</v>
      </c>
      <c r="BE53" s="71"/>
      <c r="BF53" s="65"/>
      <c r="BG53" s="79"/>
      <c r="BH53" s="45" t="s">
        <v>28</v>
      </c>
      <c r="BI53" s="65">
        <f t="shared" si="40"/>
        <v>0</v>
      </c>
      <c r="BJ53" s="80">
        <f t="shared" si="36"/>
        <v>0</v>
      </c>
      <c r="BK53" s="45"/>
      <c r="BL53" s="43"/>
      <c r="BM53" s="58"/>
      <c r="BN53" s="70"/>
      <c r="BO53" s="43"/>
      <c r="BP53" s="43"/>
      <c r="BQ53" s="43"/>
      <c r="BR53" s="71"/>
      <c r="BS53" s="65"/>
      <c r="BT53" s="79"/>
      <c r="BU53" s="45" t="s">
        <v>28</v>
      </c>
      <c r="BV53" s="65"/>
      <c r="BW53" s="80"/>
      <c r="BX53" s="6"/>
      <c r="BY53" s="4"/>
      <c r="BZ53" s="4"/>
      <c r="CA53" s="6"/>
      <c r="CB53" s="112" t="s">
        <v>636</v>
      </c>
      <c r="CC53" s="100"/>
      <c r="CD53" s="43"/>
      <c r="CE53" s="71"/>
      <c r="CF53" s="65"/>
      <c r="CG53" s="79">
        <v>148.5</v>
      </c>
      <c r="CH53" s="45" t="s">
        <v>28</v>
      </c>
      <c r="CI53" s="65">
        <f t="shared" si="15"/>
        <v>0</v>
      </c>
      <c r="CJ53" s="80">
        <f t="shared" si="83"/>
        <v>0</v>
      </c>
      <c r="CK53" s="6"/>
      <c r="CL53" s="4"/>
      <c r="CM53" s="4"/>
      <c r="CN53" s="6"/>
      <c r="CO53" s="112" t="s">
        <v>637</v>
      </c>
      <c r="CP53" s="100"/>
      <c r="CQ53" s="100"/>
      <c r="CR53" s="71">
        <v>2</v>
      </c>
      <c r="CS53" s="65"/>
      <c r="CT53" s="79">
        <v>120</v>
      </c>
      <c r="CU53" s="45" t="s">
        <v>28</v>
      </c>
      <c r="CV53" s="65">
        <f t="shared" si="82"/>
        <v>240</v>
      </c>
      <c r="CW53" s="80">
        <f>(CV53/$BF$2)*1000</f>
        <v>1200</v>
      </c>
      <c r="CX53" s="6"/>
      <c r="CY53" s="4"/>
      <c r="CZ53" s="11"/>
      <c r="DA53" s="6"/>
      <c r="DB53" s="112" t="s">
        <v>638</v>
      </c>
      <c r="DC53" s="100"/>
      <c r="DD53" s="43"/>
      <c r="DE53" s="71">
        <v>1</v>
      </c>
      <c r="DF53" s="65">
        <v>4</v>
      </c>
      <c r="DG53" s="79">
        <v>100</v>
      </c>
      <c r="DH53" s="45" t="s">
        <v>28</v>
      </c>
      <c r="DI53" s="65">
        <f>(DE53*DF53*DG53)</f>
        <v>400</v>
      </c>
      <c r="DJ53" s="80">
        <f t="shared" si="102"/>
        <v>2000</v>
      </c>
      <c r="DK53" s="6"/>
      <c r="DL53" s="4"/>
      <c r="DM53" s="4"/>
      <c r="DN53" s="6"/>
      <c r="DO53" s="112" t="s">
        <v>639</v>
      </c>
      <c r="DP53" s="100"/>
      <c r="DQ53" s="43"/>
      <c r="DR53" s="71">
        <f>2*2</f>
        <v>4</v>
      </c>
      <c r="DS53" s="343">
        <f>($DS$9)</f>
        <v>60</v>
      </c>
      <c r="DT53" s="79">
        <v>0.48</v>
      </c>
      <c r="DU53" s="45" t="s">
        <v>28</v>
      </c>
      <c r="DV53" s="65">
        <f>(DR53*DS53*DT53)</f>
        <v>115.19999999999999</v>
      </c>
      <c r="DW53" s="80">
        <f>(DV53/$BF$2)*1000</f>
        <v>576</v>
      </c>
      <c r="DX53" s="45"/>
      <c r="DY53" s="43"/>
      <c r="DZ53" s="4"/>
      <c r="EA53" s="6"/>
      <c r="EB53" s="59"/>
      <c r="EC53" s="43"/>
      <c r="ED53" s="43"/>
      <c r="EE53" s="71"/>
      <c r="EF53" s="65"/>
      <c r="EG53" s="79"/>
      <c r="EH53" s="45"/>
      <c r="EI53" s="65">
        <f t="shared" si="23"/>
        <v>0</v>
      </c>
      <c r="EJ53" s="106">
        <f t="shared" si="24"/>
        <v>0</v>
      </c>
      <c r="EK53" s="45"/>
      <c r="EL53" s="46"/>
      <c r="EM53" s="43"/>
      <c r="EN53" s="70"/>
      <c r="EO53" s="43"/>
      <c r="EP53" s="43"/>
      <c r="EQ53" s="43"/>
      <c r="ER53" s="71"/>
      <c r="ES53" s="65"/>
      <c r="ET53" s="79"/>
      <c r="EU53" s="45" t="s">
        <v>28</v>
      </c>
      <c r="EV53" s="65"/>
      <c r="EW53" s="80"/>
      <c r="EX53" s="45"/>
      <c r="EY53" s="43"/>
      <c r="EZ53" s="43"/>
      <c r="FA53" s="58"/>
      <c r="FB53" s="70"/>
      <c r="FC53" s="43"/>
      <c r="FD53" s="43"/>
      <c r="FE53" s="43"/>
      <c r="FF53" s="71"/>
      <c r="FG53" s="65"/>
      <c r="FH53" s="79"/>
      <c r="FI53" s="45" t="s">
        <v>28</v>
      </c>
      <c r="FJ53" s="65">
        <f t="shared" si="93"/>
        <v>0</v>
      </c>
      <c r="FK53" s="80">
        <f t="shared" si="94"/>
        <v>0</v>
      </c>
      <c r="FL53" s="6"/>
      <c r="FM53" s="4"/>
      <c r="FN53" s="417"/>
      <c r="FO53" s="70"/>
      <c r="FP53" s="43"/>
      <c r="FQ53" s="43"/>
      <c r="FR53" s="43"/>
      <c r="FS53" s="71"/>
      <c r="FT53" s="65"/>
      <c r="FU53" s="79"/>
      <c r="FV53" s="45" t="s">
        <v>28</v>
      </c>
      <c r="FW53" s="43"/>
      <c r="FX53" s="80"/>
      <c r="FY53" s="45"/>
      <c r="FZ53" s="4"/>
      <c r="GA53" s="422"/>
      <c r="GB53" s="70"/>
      <c r="GC53" s="43"/>
      <c r="GD53" s="43"/>
      <c r="GE53" s="43"/>
      <c r="GF53" s="71"/>
      <c r="GG53" s="65"/>
      <c r="GH53" s="79"/>
      <c r="GI53" s="45" t="s">
        <v>28</v>
      </c>
      <c r="GJ53" s="65">
        <f t="shared" si="60"/>
        <v>0</v>
      </c>
      <c r="GK53" s="80">
        <f t="shared" si="61"/>
        <v>0</v>
      </c>
      <c r="GL53" s="6"/>
      <c r="GM53" s="4"/>
      <c r="GN53" s="417"/>
      <c r="GO53" s="70"/>
      <c r="GP53" s="43"/>
      <c r="GQ53" s="43"/>
      <c r="GR53" s="43"/>
      <c r="GS53" s="71"/>
      <c r="GT53" s="71"/>
      <c r="GU53" s="71"/>
      <c r="GV53" s="45" t="s">
        <v>28</v>
      </c>
      <c r="GW53" s="65">
        <f t="shared" si="103"/>
        <v>0</v>
      </c>
      <c r="GX53" s="106">
        <f t="shared" si="99"/>
        <v>0</v>
      </c>
      <c r="GY53" s="94"/>
      <c r="GZ53" s="4"/>
      <c r="HA53" s="419"/>
      <c r="HB53" s="70"/>
      <c r="HC53" s="99" t="s">
        <v>220</v>
      </c>
      <c r="HD53" s="100"/>
      <c r="HE53" s="100"/>
      <c r="HF53" s="65"/>
      <c r="HG53" s="65"/>
      <c r="HH53" s="141">
        <v>50</v>
      </c>
      <c r="HI53" s="45" t="s">
        <v>28</v>
      </c>
      <c r="HJ53" s="65">
        <f t="shared" si="85"/>
        <v>0</v>
      </c>
      <c r="HK53" s="80">
        <f t="shared" si="86"/>
        <v>0</v>
      </c>
      <c r="HL53" s="6"/>
      <c r="HM53" s="13"/>
      <c r="HN53" s="416"/>
      <c r="HO53" s="70"/>
      <c r="HP53" s="445"/>
      <c r="HQ53" s="446"/>
      <c r="HR53" s="447"/>
      <c r="HS53" s="448"/>
      <c r="HT53" s="449"/>
      <c r="HU53" s="448"/>
      <c r="HV53" s="450" t="s">
        <v>28</v>
      </c>
      <c r="HW53" s="448">
        <f t="shared" si="100"/>
        <v>0</v>
      </c>
      <c r="HX53" s="451">
        <f t="shared" si="95"/>
        <v>0</v>
      </c>
      <c r="HY53" s="94"/>
      <c r="HZ53" s="4"/>
      <c r="IA53" s="70"/>
      <c r="IB53" s="59"/>
      <c r="IC53" s="43"/>
      <c r="ID53" s="43"/>
      <c r="IE53" s="43"/>
      <c r="IF53" s="71"/>
      <c r="IG53" s="150" t="s">
        <v>640</v>
      </c>
      <c r="IH53" s="45" t="s">
        <v>28</v>
      </c>
      <c r="II53" s="309">
        <f>SUM(II38:II52)</f>
        <v>2930</v>
      </c>
      <c r="IJ53" s="458">
        <f>SUM(IJ38:IJ52)</f>
        <v>14650</v>
      </c>
      <c r="IK53" s="94"/>
      <c r="IL53" s="4"/>
      <c r="IM53" s="13"/>
      <c r="IN53" s="13"/>
      <c r="IO53" s="13"/>
      <c r="IP53" s="13"/>
      <c r="IQ53" s="4"/>
      <c r="IR53" s="4"/>
      <c r="IS53" s="4"/>
      <c r="IT53" s="4"/>
      <c r="IU53" s="6" t="s">
        <v>28</v>
      </c>
      <c r="IV53" s="13"/>
    </row>
    <row r="54" spans="1:256" ht="13.5" thickBot="1">
      <c r="A54" s="225"/>
      <c r="B54" s="204"/>
      <c r="C54" s="24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8"/>
      <c r="P54" s="207"/>
      <c r="Q54" s="208"/>
      <c r="R54" s="209"/>
      <c r="S54" s="59"/>
      <c r="T54" s="43"/>
      <c r="U54" s="524" t="s">
        <v>641</v>
      </c>
      <c r="V54" s="527"/>
      <c r="W54" s="261"/>
      <c r="X54" s="350"/>
      <c r="Y54" s="351">
        <f>(Y44)</f>
        <v>3230</v>
      </c>
      <c r="Z54" s="241">
        <f t="shared" si="104"/>
        <v>44.12568306010928</v>
      </c>
      <c r="AA54" s="6"/>
      <c r="AB54" s="59"/>
      <c r="AC54" s="70"/>
      <c r="AD54" s="289"/>
      <c r="AE54" s="558"/>
      <c r="AF54" s="561" t="s">
        <v>93</v>
      </c>
      <c r="AG54" s="566">
        <f>SUM(AG48:AG53)</f>
        <v>71916.54209728</v>
      </c>
      <c r="AH54" s="231"/>
      <c r="AI54" s="561" t="s">
        <v>93</v>
      </c>
      <c r="AJ54" s="566">
        <f>SUM(AJ48:AJ53)</f>
        <v>115593</v>
      </c>
      <c r="AK54" s="90"/>
      <c r="AL54" s="262"/>
      <c r="AM54" s="138"/>
      <c r="AN54" s="250"/>
      <c r="AO54" s="100"/>
      <c r="AP54" s="98" t="s">
        <v>642</v>
      </c>
      <c r="AQ54" s="99" t="s">
        <v>643</v>
      </c>
      <c r="AR54" s="100"/>
      <c r="AS54" s="100"/>
      <c r="AT54" s="414">
        <v>0</v>
      </c>
      <c r="AU54" s="334" t="s">
        <v>72</v>
      </c>
      <c r="AV54" s="100"/>
      <c r="AW54" s="251"/>
      <c r="AX54" s="46"/>
      <c r="AY54" s="43"/>
      <c r="AZ54" s="43"/>
      <c r="BA54" s="70"/>
      <c r="BB54" s="44"/>
      <c r="BC54" s="43"/>
      <c r="BD54" s="43"/>
      <c r="BE54" s="43"/>
      <c r="BF54" s="43"/>
      <c r="BG54" s="43"/>
      <c r="BH54" s="45"/>
      <c r="BI54" s="85"/>
      <c r="BJ54" s="80"/>
      <c r="BK54" s="45"/>
      <c r="BL54" s="43"/>
      <c r="BM54" s="43"/>
      <c r="BN54" s="70"/>
      <c r="BO54" s="44"/>
      <c r="BP54" s="43"/>
      <c r="BQ54" s="43"/>
      <c r="BR54" s="43"/>
      <c r="BS54" s="43"/>
      <c r="BT54" s="43"/>
      <c r="BU54" s="45" t="s">
        <v>28</v>
      </c>
      <c r="BV54" s="85"/>
      <c r="BW54" s="80"/>
      <c r="BX54" s="6"/>
      <c r="BY54" s="4"/>
      <c r="BZ54" s="4"/>
      <c r="CA54" s="6"/>
      <c r="CB54" s="66"/>
      <c r="CC54" s="43"/>
      <c r="CD54" s="43"/>
      <c r="CE54" s="43"/>
      <c r="CF54" s="43"/>
      <c r="CG54" s="43"/>
      <c r="CH54" s="45"/>
      <c r="CI54" s="85"/>
      <c r="CJ54" s="86"/>
      <c r="CK54" s="6"/>
      <c r="CL54" s="4"/>
      <c r="CM54" s="4"/>
      <c r="CN54" s="6"/>
      <c r="CO54" s="66"/>
      <c r="CP54" s="43"/>
      <c r="CQ54" s="43"/>
      <c r="CR54" s="43"/>
      <c r="CS54" s="43"/>
      <c r="CT54" s="43"/>
      <c r="CU54" s="45"/>
      <c r="CV54" s="85"/>
      <c r="CW54" s="86"/>
      <c r="CX54" s="6"/>
      <c r="CY54" s="4"/>
      <c r="CZ54" s="4"/>
      <c r="DA54" s="6"/>
      <c r="DB54" s="112"/>
      <c r="DC54" s="100"/>
      <c r="DD54" s="43"/>
      <c r="DE54" s="43"/>
      <c r="DF54" s="43"/>
      <c r="DG54" s="43"/>
      <c r="DH54" s="45"/>
      <c r="DI54" s="85"/>
      <c r="DJ54" s="86"/>
      <c r="DK54" s="6"/>
      <c r="DL54" s="4"/>
      <c r="DM54" s="4"/>
      <c r="DN54" s="6"/>
      <c r="DO54" s="66"/>
      <c r="DP54" s="43"/>
      <c r="DQ54" s="43"/>
      <c r="DR54" s="43"/>
      <c r="DS54" s="43"/>
      <c r="DT54" s="43"/>
      <c r="DU54" s="45"/>
      <c r="DV54" s="85"/>
      <c r="DW54" s="86"/>
      <c r="DX54" s="45"/>
      <c r="DY54" s="43"/>
      <c r="DZ54" s="4"/>
      <c r="EA54" s="6"/>
      <c r="EB54" s="66"/>
      <c r="EC54" s="43"/>
      <c r="ED54" s="43"/>
      <c r="EE54" s="43"/>
      <c r="EF54" s="43"/>
      <c r="EG54" s="43"/>
      <c r="EH54" s="45"/>
      <c r="EI54" s="85"/>
      <c r="EJ54" s="130"/>
      <c r="EK54" s="45"/>
      <c r="EL54" s="46"/>
      <c r="EM54" s="43"/>
      <c r="EN54" s="70"/>
      <c r="EO54" s="44"/>
      <c r="EP54" s="43"/>
      <c r="EQ54" s="43"/>
      <c r="ER54" s="43"/>
      <c r="ES54" s="43"/>
      <c r="ET54" s="43"/>
      <c r="EU54" s="45"/>
      <c r="EV54" s="85"/>
      <c r="EW54" s="86"/>
      <c r="EX54" s="45"/>
      <c r="EY54" s="43"/>
      <c r="EZ54" s="43"/>
      <c r="FA54" s="43"/>
      <c r="FB54" s="70"/>
      <c r="FC54" s="44"/>
      <c r="FD54" s="43"/>
      <c r="FE54" s="43"/>
      <c r="FF54" s="43"/>
      <c r="FG54" s="43"/>
      <c r="FH54" s="43"/>
      <c r="FI54" s="45"/>
      <c r="FJ54" s="85"/>
      <c r="FK54" s="46"/>
      <c r="FL54" s="6"/>
      <c r="FM54" s="4"/>
      <c r="FN54" s="417"/>
      <c r="FO54" s="70"/>
      <c r="FP54" s="44"/>
      <c r="FQ54" s="43"/>
      <c r="FR54" s="138"/>
      <c r="FS54" s="44"/>
      <c r="FT54" s="44"/>
      <c r="FU54" s="43"/>
      <c r="FV54" s="45"/>
      <c r="FW54" s="85"/>
      <c r="FX54" s="86"/>
      <c r="FY54" s="45"/>
      <c r="FZ54" s="4"/>
      <c r="GA54" s="4"/>
      <c r="GB54" s="70"/>
      <c r="GC54" s="44"/>
      <c r="GD54" s="43"/>
      <c r="GE54" s="43"/>
      <c r="GF54" s="44"/>
      <c r="GG54" s="44"/>
      <c r="GH54" s="43"/>
      <c r="GI54" s="45"/>
      <c r="GJ54" s="85"/>
      <c r="GK54" s="86"/>
      <c r="GL54" s="6"/>
      <c r="GM54" s="4"/>
      <c r="GN54" s="418"/>
      <c r="GO54" s="70"/>
      <c r="GP54" s="44"/>
      <c r="GQ54" s="43"/>
      <c r="GR54" s="43"/>
      <c r="GS54" s="44"/>
      <c r="GT54" s="44"/>
      <c r="GU54" s="43"/>
      <c r="GV54" s="45"/>
      <c r="GW54" s="85"/>
      <c r="GX54" s="130"/>
      <c r="GY54" s="94"/>
      <c r="GZ54" s="4"/>
      <c r="HA54" s="4"/>
      <c r="HB54" s="70"/>
      <c r="HC54" s="44"/>
      <c r="HD54" s="43"/>
      <c r="HE54" s="43"/>
      <c r="HF54" s="44"/>
      <c r="HG54" s="44"/>
      <c r="HH54" s="43"/>
      <c r="HI54" s="45"/>
      <c r="HJ54" s="85"/>
      <c r="HK54" s="86"/>
      <c r="HL54" s="6"/>
      <c r="HM54" s="13"/>
      <c r="HN54" s="344"/>
      <c r="HO54" s="70"/>
      <c r="HP54" s="44"/>
      <c r="HQ54" s="43"/>
      <c r="HR54" s="43"/>
      <c r="HS54" s="44"/>
      <c r="HT54" s="44"/>
      <c r="HU54" s="43"/>
      <c r="HV54" s="45"/>
      <c r="HW54" s="424"/>
      <c r="HX54" s="136"/>
      <c r="HY54" s="94"/>
      <c r="HZ54" s="4"/>
      <c r="IA54" s="70"/>
      <c r="IB54" s="66"/>
      <c r="IC54" s="43"/>
      <c r="ID54" s="43"/>
      <c r="IE54" s="44"/>
      <c r="IF54" s="44"/>
      <c r="IG54" s="43"/>
      <c r="IH54" s="45"/>
      <c r="II54" s="85"/>
      <c r="IJ54" s="130"/>
      <c r="IK54" s="94"/>
      <c r="IL54" s="5"/>
      <c r="IM54" s="13"/>
      <c r="IN54" s="13"/>
      <c r="IO54" s="13"/>
      <c r="IP54" s="10"/>
      <c r="IQ54" s="4"/>
      <c r="IR54" s="4"/>
      <c r="IS54" s="5"/>
      <c r="IT54" s="4"/>
      <c r="IU54" s="6"/>
      <c r="IV54" s="4"/>
    </row>
    <row r="55" spans="1:256" ht="13.5" thickBot="1">
      <c r="A55" s="225"/>
      <c r="B55" s="204"/>
      <c r="C55" s="24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8"/>
      <c r="P55" s="207"/>
      <c r="Q55" s="208"/>
      <c r="R55" s="209"/>
      <c r="S55" s="59"/>
      <c r="T55" s="43"/>
      <c r="U55" s="525"/>
      <c r="V55" s="528"/>
      <c r="W55" s="353" t="s">
        <v>644</v>
      </c>
      <c r="X55" s="354">
        <f>SUM(X50:X54)</f>
        <v>0</v>
      </c>
      <c r="Y55" s="355">
        <f>SUM(Y50:Y54)</f>
        <v>132582.34809728</v>
      </c>
      <c r="Z55" s="242">
        <f t="shared" si="104"/>
        <v>1811.2342636240435</v>
      </c>
      <c r="AA55" s="6"/>
      <c r="AB55" s="59"/>
      <c r="AC55" s="70"/>
      <c r="AD55" s="290"/>
      <c r="AE55" s="291"/>
      <c r="AF55" s="291"/>
      <c r="AG55" s="292"/>
      <c r="AH55" s="293"/>
      <c r="AI55" s="294"/>
      <c r="AJ55" s="298"/>
      <c r="AK55" s="90"/>
      <c r="AL55" s="262"/>
      <c r="AM55" s="138"/>
      <c r="AN55" s="406"/>
      <c r="AO55" s="399"/>
      <c r="AP55" s="400" t="s">
        <v>645</v>
      </c>
      <c r="AQ55" s="401" t="s">
        <v>646</v>
      </c>
      <c r="AR55" s="399"/>
      <c r="AS55" s="399"/>
      <c r="AT55" s="411">
        <f>220+165</f>
        <v>385</v>
      </c>
      <c r="AU55" s="337" t="s">
        <v>72</v>
      </c>
      <c r="AV55" s="399"/>
      <c r="AW55" s="402"/>
      <c r="AX55" s="46"/>
      <c r="AY55" s="43"/>
      <c r="AZ55" s="43"/>
      <c r="BA55" s="70"/>
      <c r="BB55" s="43"/>
      <c r="BC55" s="44" t="s">
        <v>647</v>
      </c>
      <c r="BD55" s="338">
        <f>(IN55)</f>
        <v>3774.02809728</v>
      </c>
      <c r="BE55" s="44" t="s">
        <v>648</v>
      </c>
      <c r="BF55" s="346">
        <f>(BI55-BD55)</f>
        <v>0</v>
      </c>
      <c r="BG55" s="44" t="s">
        <v>649</v>
      </c>
      <c r="BH55" s="45" t="s">
        <v>28</v>
      </c>
      <c r="BI55" s="346">
        <f>SUM(BI15:BI52)</f>
        <v>3774.02809728</v>
      </c>
      <c r="BJ55" s="458">
        <f>SUM(BJ15:BJ52)</f>
        <v>18870.1404864</v>
      </c>
      <c r="BK55" s="45"/>
      <c r="BL55" s="43"/>
      <c r="BM55" s="43"/>
      <c r="BN55" s="70"/>
      <c r="BO55" s="43"/>
      <c r="BP55" s="44" t="s">
        <v>647</v>
      </c>
      <c r="BQ55" s="338">
        <f>(IO55)</f>
        <v>3392.2290000000003</v>
      </c>
      <c r="BR55" s="44" t="s">
        <v>648</v>
      </c>
      <c r="BS55" s="458">
        <f>(BV55-BQ55)</f>
        <v>0</v>
      </c>
      <c r="BT55" s="44" t="s">
        <v>649</v>
      </c>
      <c r="BU55" s="45" t="s">
        <v>28</v>
      </c>
      <c r="BV55" s="458">
        <f>SUM(BV19:BV52)</f>
        <v>3392.2290000000003</v>
      </c>
      <c r="BW55" s="465">
        <f>SUM(BW19:BW52)</f>
        <v>16961.144999999997</v>
      </c>
      <c r="BX55" s="6"/>
      <c r="BY55" s="4"/>
      <c r="BZ55" s="4"/>
      <c r="CA55" s="6"/>
      <c r="CB55" s="59"/>
      <c r="CC55" s="44" t="s">
        <v>647</v>
      </c>
      <c r="CD55" s="338">
        <f>(IP55)</f>
        <v>1401.4599999999998</v>
      </c>
      <c r="CE55" s="44" t="s">
        <v>648</v>
      </c>
      <c r="CF55" s="346">
        <f>(CI55-CD55)</f>
        <v>0</v>
      </c>
      <c r="CG55" s="44" t="s">
        <v>649</v>
      </c>
      <c r="CH55" s="45" t="s">
        <v>28</v>
      </c>
      <c r="CI55" s="346">
        <f>SUM(CI14:CI53)</f>
        <v>1401.4599999999998</v>
      </c>
      <c r="CJ55" s="458">
        <f>SUM(CJ14:CJ53)</f>
        <v>7007.3</v>
      </c>
      <c r="CK55" s="6"/>
      <c r="CL55" s="4"/>
      <c r="CM55" s="4"/>
      <c r="CN55" s="6"/>
      <c r="CO55" s="59"/>
      <c r="CP55" s="44" t="s">
        <v>647</v>
      </c>
      <c r="CQ55" s="338">
        <f>(IQ55)</f>
        <v>8971.505000000001</v>
      </c>
      <c r="CR55" s="44" t="s">
        <v>648</v>
      </c>
      <c r="CS55" s="346">
        <f>(CV55-CQ55)</f>
        <v>0</v>
      </c>
      <c r="CT55" s="44" t="s">
        <v>649</v>
      </c>
      <c r="CU55" s="45" t="s">
        <v>28</v>
      </c>
      <c r="CV55" s="346">
        <f>SUM(CV15:CV53)</f>
        <v>8971.505000000001</v>
      </c>
      <c r="CW55" s="458">
        <f>SUM(CW15:CW53)</f>
        <v>44857.525</v>
      </c>
      <c r="CX55" s="6"/>
      <c r="CY55" s="4"/>
      <c r="CZ55" s="4"/>
      <c r="DA55" s="6"/>
      <c r="DB55" s="59"/>
      <c r="DC55" s="44" t="s">
        <v>647</v>
      </c>
      <c r="DD55" s="338">
        <f>(IR55)</f>
        <v>3177.75</v>
      </c>
      <c r="DE55" s="44" t="s">
        <v>648</v>
      </c>
      <c r="DF55" s="346">
        <f>(DI55-DD55)</f>
        <v>0</v>
      </c>
      <c r="DG55" s="44" t="s">
        <v>649</v>
      </c>
      <c r="DH55" s="45" t="s">
        <v>28</v>
      </c>
      <c r="DI55" s="346">
        <f>SUM(DI15:DI53)</f>
        <v>3177.75</v>
      </c>
      <c r="DJ55" s="458">
        <f>SUM(DJ15:DJ53)</f>
        <v>15888.75</v>
      </c>
      <c r="DK55" s="6"/>
      <c r="DL55" s="4"/>
      <c r="DM55" s="4"/>
      <c r="DN55" s="6"/>
      <c r="DO55" s="59"/>
      <c r="DP55" s="44" t="s">
        <v>647</v>
      </c>
      <c r="DQ55" s="338">
        <f>(IT55)</f>
        <v>0</v>
      </c>
      <c r="DR55" s="44" t="s">
        <v>648</v>
      </c>
      <c r="DS55" s="346">
        <f>(DV55-DQ55)</f>
        <v>4097.46</v>
      </c>
      <c r="DT55" s="44" t="s">
        <v>649</v>
      </c>
      <c r="DU55" s="45" t="s">
        <v>28</v>
      </c>
      <c r="DV55" s="346">
        <f>SUM(DV15:DV53)</f>
        <v>4097.46</v>
      </c>
      <c r="DW55" s="458">
        <f>SUM(DW15:DW53)</f>
        <v>20487.3</v>
      </c>
      <c r="DX55" s="45"/>
      <c r="DY55" s="43"/>
      <c r="DZ55" s="4"/>
      <c r="EA55" s="6"/>
      <c r="EB55" s="59"/>
      <c r="EC55" s="44" t="s">
        <v>647</v>
      </c>
      <c r="ED55" s="338">
        <f>(IM55)</f>
        <v>7940</v>
      </c>
      <c r="EE55" s="44" t="s">
        <v>648</v>
      </c>
      <c r="EF55" s="346">
        <f>(EI55-ED55)</f>
        <v>0</v>
      </c>
      <c r="EG55" s="44" t="s">
        <v>649</v>
      </c>
      <c r="EH55" s="45"/>
      <c r="EI55" s="346">
        <f>SUM(EI15:EI53)</f>
        <v>7940</v>
      </c>
      <c r="EJ55" s="458">
        <f>SUM(EJ15:EJ53)</f>
        <v>39700</v>
      </c>
      <c r="EK55" s="45"/>
      <c r="EL55" s="46"/>
      <c r="EM55" s="43"/>
      <c r="EN55" s="70"/>
      <c r="EO55" s="43"/>
      <c r="EP55" s="44" t="s">
        <v>647</v>
      </c>
      <c r="EQ55" s="338">
        <f>(IL55)</f>
        <v>3962</v>
      </c>
      <c r="ER55" s="44" t="s">
        <v>648</v>
      </c>
      <c r="ES55" s="346">
        <f>(EV55-EQ55)</f>
        <v>0</v>
      </c>
      <c r="ET55" s="44" t="s">
        <v>649</v>
      </c>
      <c r="EU55" s="45" t="s">
        <v>28</v>
      </c>
      <c r="EV55" s="346">
        <f>SUM(EV15:EV53)</f>
        <v>3962</v>
      </c>
      <c r="EW55" s="458">
        <f>SUM(EW15:EW53)</f>
        <v>19810</v>
      </c>
      <c r="EX55" s="45"/>
      <c r="EY55" s="43"/>
      <c r="EZ55" s="43"/>
      <c r="FA55" s="43"/>
      <c r="FB55" s="70"/>
      <c r="FC55" s="43"/>
      <c r="FD55" s="44" t="s">
        <v>647</v>
      </c>
      <c r="FE55" s="338">
        <f>(IL113)</f>
        <v>2710</v>
      </c>
      <c r="FF55" s="44" t="s">
        <v>648</v>
      </c>
      <c r="FG55" s="346">
        <f>(FJ55-FE55)</f>
        <v>0</v>
      </c>
      <c r="FH55" s="44" t="s">
        <v>649</v>
      </c>
      <c r="FI55" s="45" t="s">
        <v>28</v>
      </c>
      <c r="FJ55" s="346">
        <f>SUM(FJ15:FJ53)</f>
        <v>2710</v>
      </c>
      <c r="FK55" s="458">
        <f>SUM(FK15:FK53)</f>
        <v>13550</v>
      </c>
      <c r="FL55" s="6"/>
      <c r="FM55" s="4"/>
      <c r="FN55" s="417"/>
      <c r="FO55" s="70"/>
      <c r="FP55" s="43"/>
      <c r="FQ55" s="44" t="s">
        <v>647</v>
      </c>
      <c r="FR55" s="338">
        <f>(IM113)</f>
        <v>1040</v>
      </c>
      <c r="FS55" s="44" t="s">
        <v>648</v>
      </c>
      <c r="FT55" s="346">
        <f>(FW55-FR55)</f>
        <v>0</v>
      </c>
      <c r="FU55" s="44" t="s">
        <v>649</v>
      </c>
      <c r="FV55" s="45" t="s">
        <v>28</v>
      </c>
      <c r="FW55" s="346">
        <f>SUM(FW15:FW53)</f>
        <v>1040</v>
      </c>
      <c r="FX55" s="458">
        <f>SUM(FX15:GK39)</f>
        <v>9563</v>
      </c>
      <c r="FY55" s="45"/>
      <c r="FZ55" s="4"/>
      <c r="GA55" s="4"/>
      <c r="GB55" s="70"/>
      <c r="GC55" s="43"/>
      <c r="GD55" s="44" t="s">
        <v>647</v>
      </c>
      <c r="GE55" s="338">
        <f>(IN113)</f>
        <v>595</v>
      </c>
      <c r="GF55" s="44" t="s">
        <v>648</v>
      </c>
      <c r="GG55" s="346">
        <f>(GJ55-GE55)</f>
        <v>0</v>
      </c>
      <c r="GH55" s="44" t="s">
        <v>649</v>
      </c>
      <c r="GI55" s="45" t="s">
        <v>28</v>
      </c>
      <c r="GJ55" s="346">
        <f>SUM(GJ15:GJ53)</f>
        <v>595</v>
      </c>
      <c r="GK55" s="458">
        <f>SUM(GK15:GK53)</f>
        <v>2975</v>
      </c>
      <c r="GL55" s="6"/>
      <c r="GM55" s="4"/>
      <c r="GN55" s="4"/>
      <c r="GO55" s="70"/>
      <c r="GP55" s="43"/>
      <c r="GQ55" s="44" t="s">
        <v>647</v>
      </c>
      <c r="GR55" s="338">
        <f>(IO113)</f>
        <v>983.8199999999999</v>
      </c>
      <c r="GS55" s="44" t="s">
        <v>648</v>
      </c>
      <c r="GT55" s="346">
        <f>(GW55-GR55)</f>
        <v>0</v>
      </c>
      <c r="GU55" s="44" t="s">
        <v>649</v>
      </c>
      <c r="GV55" s="45" t="s">
        <v>28</v>
      </c>
      <c r="GW55" s="346">
        <f>SUM(GW15:GW53)</f>
        <v>983.8199999999999</v>
      </c>
      <c r="GX55" s="458">
        <f>SUM(GX15:GX53)</f>
        <v>5856.6</v>
      </c>
      <c r="GY55" s="94"/>
      <c r="GZ55" s="4"/>
      <c r="HA55" s="4"/>
      <c r="HB55" s="70"/>
      <c r="HC55" s="43"/>
      <c r="HD55" s="44" t="s">
        <v>647</v>
      </c>
      <c r="HE55" s="338">
        <f>(IP113)</f>
        <v>2457.7439999999997</v>
      </c>
      <c r="HF55" s="44" t="s">
        <v>648</v>
      </c>
      <c r="HG55" s="346">
        <f>(HJ55-HE55)</f>
        <v>0</v>
      </c>
      <c r="HH55" s="44" t="s">
        <v>649</v>
      </c>
      <c r="HI55" s="45" t="s">
        <v>28</v>
      </c>
      <c r="HJ55" s="346">
        <f>SUM(HJ15:HJ53)</f>
        <v>2457.7439999999997</v>
      </c>
      <c r="HK55" s="458">
        <f>SUM(HK15:HK53)</f>
        <v>10902.72</v>
      </c>
      <c r="HL55" s="6"/>
      <c r="HM55" s="13"/>
      <c r="HN55" s="4"/>
      <c r="HO55" s="70"/>
      <c r="HP55" s="43"/>
      <c r="HQ55" s="44" t="s">
        <v>647</v>
      </c>
      <c r="HR55" s="338">
        <f>(IQ113)</f>
        <v>755</v>
      </c>
      <c r="HS55" s="44" t="s">
        <v>648</v>
      </c>
      <c r="HT55" s="346">
        <f>(HW55-HR55)</f>
        <v>4065</v>
      </c>
      <c r="HU55" s="427">
        <f>SUM(HW45:HW53)</f>
        <v>755</v>
      </c>
      <c r="HV55" s="45" t="s">
        <v>28</v>
      </c>
      <c r="HW55" s="426">
        <f>SUM(HW13:HW43)</f>
        <v>4820</v>
      </c>
      <c r="HX55" s="425">
        <f>SUM(HX13:HX43)</f>
        <v>24100</v>
      </c>
      <c r="HY55" s="94"/>
      <c r="HZ55" s="4"/>
      <c r="IA55" s="70"/>
      <c r="IB55" s="59"/>
      <c r="IC55" s="44" t="s">
        <v>647</v>
      </c>
      <c r="ID55" s="338">
        <f>(IT55)</f>
        <v>0</v>
      </c>
      <c r="IE55" s="44" t="s">
        <v>648</v>
      </c>
      <c r="IF55" s="346">
        <f>(II55-ID55)</f>
        <v>0</v>
      </c>
      <c r="IG55" s="44" t="s">
        <v>649</v>
      </c>
      <c r="IH55" s="45" t="s">
        <v>28</v>
      </c>
      <c r="II55" s="346">
        <f>(II21)</f>
        <v>0</v>
      </c>
      <c r="IJ55" s="458">
        <f>(IJ21)</f>
        <v>0</v>
      </c>
      <c r="IK55" s="94"/>
      <c r="IL55" s="11">
        <f>SUM(IL3:IL53)</f>
        <v>3962</v>
      </c>
      <c r="IM55" s="13">
        <f aca="true" t="shared" si="105" ref="IM55:IR55">SUM(IM3:IM53)</f>
        <v>7940</v>
      </c>
      <c r="IN55" s="13">
        <f t="shared" si="105"/>
        <v>3774.02809728</v>
      </c>
      <c r="IO55" s="13">
        <f t="shared" si="105"/>
        <v>3392.2290000000003</v>
      </c>
      <c r="IP55" s="13">
        <f t="shared" si="105"/>
        <v>1401.4599999999998</v>
      </c>
      <c r="IQ55" s="11">
        <f t="shared" si="105"/>
        <v>8971.505000000001</v>
      </c>
      <c r="IR55" s="13">
        <f t="shared" si="105"/>
        <v>3177.75</v>
      </c>
      <c r="IS55" s="4"/>
      <c r="IT55" s="11">
        <f>SUM(IT3:IT53)</f>
        <v>0</v>
      </c>
      <c r="IU55" s="6" t="s">
        <v>28</v>
      </c>
      <c r="IV55" s="4"/>
    </row>
    <row r="56" spans="1:256" ht="12.75">
      <c r="A56" s="225"/>
      <c r="B56" s="204"/>
      <c r="C56" s="24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14"/>
      <c r="P56" s="207"/>
      <c r="Q56" s="214"/>
      <c r="R56" s="209"/>
      <c r="S56" s="66"/>
      <c r="T56" s="44"/>
      <c r="U56" s="44"/>
      <c r="V56" s="44"/>
      <c r="W56" s="44"/>
      <c r="X56" s="44"/>
      <c r="Y56" s="44"/>
      <c r="Z56" s="48"/>
      <c r="AA56" s="6"/>
      <c r="AB56" s="66"/>
      <c r="AC56" s="70"/>
      <c r="AD56" s="248"/>
      <c r="AE56" s="248"/>
      <c r="AF56" s="248"/>
      <c r="AG56" s="83"/>
      <c r="AH56" s="249"/>
      <c r="AI56" s="249"/>
      <c r="AJ56" s="249"/>
      <c r="AK56" s="91"/>
      <c r="AL56" s="45"/>
      <c r="AM56" s="44"/>
      <c r="AN56" s="70"/>
      <c r="AO56" s="44"/>
      <c r="AP56" s="44"/>
      <c r="AQ56" s="44"/>
      <c r="AR56" s="44"/>
      <c r="AS56" s="44"/>
      <c r="AT56" s="44"/>
      <c r="AU56" s="43"/>
      <c r="AV56" s="44"/>
      <c r="AW56" s="94"/>
      <c r="AX56" s="46"/>
      <c r="AY56" s="43"/>
      <c r="AZ56" s="43"/>
      <c r="BA56" s="70"/>
      <c r="BB56" s="44"/>
      <c r="BC56" s="44"/>
      <c r="BD56" s="44"/>
      <c r="BE56" s="44"/>
      <c r="BF56" s="44"/>
      <c r="BG56" s="44"/>
      <c r="BH56" s="43"/>
      <c r="BI56" s="44"/>
      <c r="BJ56" s="86"/>
      <c r="BK56" s="45"/>
      <c r="BL56" s="43"/>
      <c r="BM56" s="43"/>
      <c r="BN56" s="70"/>
      <c r="BO56" s="44"/>
      <c r="BP56" s="44"/>
      <c r="BQ56" s="44"/>
      <c r="BR56" s="44"/>
      <c r="BS56" s="44"/>
      <c r="BT56" s="44"/>
      <c r="BU56" s="43"/>
      <c r="BV56" s="44"/>
      <c r="BW56" s="48"/>
      <c r="BX56" s="6"/>
      <c r="BY56" s="4"/>
      <c r="BZ56" s="4"/>
      <c r="CA56" s="6"/>
      <c r="CB56" s="66"/>
      <c r="CC56" s="44"/>
      <c r="CD56" s="44"/>
      <c r="CE56" s="44"/>
      <c r="CF56" s="44"/>
      <c r="CG56" s="44"/>
      <c r="CH56" s="43"/>
      <c r="CI56" s="44"/>
      <c r="CJ56" s="86"/>
      <c r="CK56" s="6"/>
      <c r="CL56" s="4"/>
      <c r="CM56" s="4"/>
      <c r="CN56" s="6"/>
      <c r="CO56" s="66"/>
      <c r="CP56" s="44"/>
      <c r="CQ56" s="44"/>
      <c r="CR56" s="44"/>
      <c r="CS56" s="44"/>
      <c r="CT56" s="44"/>
      <c r="CU56" s="43"/>
      <c r="CV56" s="44"/>
      <c r="CW56" s="48"/>
      <c r="CX56" s="6"/>
      <c r="CY56" s="4"/>
      <c r="CZ56" s="4"/>
      <c r="DA56" s="6"/>
      <c r="DB56" s="66"/>
      <c r="DC56" s="44"/>
      <c r="DD56" s="44"/>
      <c r="DE56" s="44"/>
      <c r="DF56" s="44"/>
      <c r="DG56" s="44"/>
      <c r="DH56" s="43"/>
      <c r="DI56" s="44"/>
      <c r="DJ56" s="48"/>
      <c r="DK56" s="6"/>
      <c r="DL56" s="4"/>
      <c r="DM56" s="4"/>
      <c r="DN56" s="6"/>
      <c r="DO56" s="66"/>
      <c r="DP56" s="44"/>
      <c r="DQ56" s="44"/>
      <c r="DR56" s="44"/>
      <c r="DS56" s="43"/>
      <c r="DT56" s="44"/>
      <c r="DU56" s="43"/>
      <c r="DV56" s="44"/>
      <c r="DW56" s="48"/>
      <c r="DX56" s="45"/>
      <c r="DY56" s="43"/>
      <c r="DZ56" s="4"/>
      <c r="EA56" s="6"/>
      <c r="EB56" s="66"/>
      <c r="EC56" s="44"/>
      <c r="ED56" s="44"/>
      <c r="EE56" s="44"/>
      <c r="EF56" s="44"/>
      <c r="EG56" s="44"/>
      <c r="EH56" s="43"/>
      <c r="EI56" s="44"/>
      <c r="EJ56" s="44"/>
      <c r="EK56" s="45"/>
      <c r="EL56" s="46"/>
      <c r="EM56" s="43"/>
      <c r="EN56" s="70"/>
      <c r="EO56" s="44"/>
      <c r="EP56" s="44"/>
      <c r="EQ56" s="44"/>
      <c r="ER56" s="44"/>
      <c r="ES56" s="44"/>
      <c r="ET56" s="44"/>
      <c r="EU56" s="43"/>
      <c r="EV56" s="44"/>
      <c r="EW56" s="86"/>
      <c r="EX56" s="45"/>
      <c r="EY56" s="43"/>
      <c r="EZ56" s="43"/>
      <c r="FA56" s="43"/>
      <c r="FB56" s="70"/>
      <c r="FC56" s="44"/>
      <c r="FD56" s="44"/>
      <c r="FE56" s="44"/>
      <c r="FF56" s="44"/>
      <c r="FG56" s="44"/>
      <c r="FH56" s="44"/>
      <c r="FI56" s="44"/>
      <c r="FJ56" s="43"/>
      <c r="FK56" s="48"/>
      <c r="FL56" s="6"/>
      <c r="FM56" s="4"/>
      <c r="FN56" s="417"/>
      <c r="FO56" s="70"/>
      <c r="FP56" s="44"/>
      <c r="FQ56" s="44"/>
      <c r="FR56" s="44"/>
      <c r="FS56" s="44"/>
      <c r="FT56" s="44"/>
      <c r="FU56" s="44"/>
      <c r="FV56" s="44"/>
      <c r="FW56" s="43"/>
      <c r="FX56" s="48"/>
      <c r="FY56" s="45"/>
      <c r="FZ56" s="4"/>
      <c r="GA56" s="4"/>
      <c r="GB56" s="70"/>
      <c r="GC56" s="44"/>
      <c r="GD56" s="44"/>
      <c r="GE56" s="44"/>
      <c r="GF56" s="44"/>
      <c r="GG56" s="44"/>
      <c r="GH56" s="44"/>
      <c r="GI56" s="44"/>
      <c r="GJ56" s="43"/>
      <c r="GK56" s="48"/>
      <c r="GL56" s="6"/>
      <c r="GM56" s="4"/>
      <c r="GN56" s="4"/>
      <c r="GO56" s="70"/>
      <c r="GP56" s="44"/>
      <c r="GQ56" s="44"/>
      <c r="GR56" s="44"/>
      <c r="GS56" s="44"/>
      <c r="GT56" s="44"/>
      <c r="GU56" s="44"/>
      <c r="GV56" s="44"/>
      <c r="GW56" s="43"/>
      <c r="GX56" s="44"/>
      <c r="GY56" s="94"/>
      <c r="GZ56" s="4"/>
      <c r="HA56" s="4"/>
      <c r="HB56" s="70"/>
      <c r="HC56" s="44"/>
      <c r="HD56" s="44"/>
      <c r="HE56" s="44"/>
      <c r="HF56" s="44"/>
      <c r="HG56" s="44"/>
      <c r="HH56" s="44"/>
      <c r="HI56" s="44"/>
      <c r="HJ56" s="43"/>
      <c r="HK56" s="86"/>
      <c r="HL56" s="6"/>
      <c r="HM56" s="4"/>
      <c r="HN56" s="4"/>
      <c r="HO56" s="70"/>
      <c r="HP56" s="44"/>
      <c r="HQ56" s="44"/>
      <c r="HR56" s="44"/>
      <c r="HS56" s="44"/>
      <c r="HT56" s="44"/>
      <c r="HU56" s="44"/>
      <c r="HV56" s="44"/>
      <c r="HW56" s="43"/>
      <c r="HX56" s="130"/>
      <c r="HY56" s="94"/>
      <c r="HZ56" s="4"/>
      <c r="IA56" s="70"/>
      <c r="IB56" s="66"/>
      <c r="IC56" s="44"/>
      <c r="ID56" s="44"/>
      <c r="IE56" s="44"/>
      <c r="IF56" s="44"/>
      <c r="IG56" s="44"/>
      <c r="IH56" s="44"/>
      <c r="II56" s="43"/>
      <c r="IJ56" s="44"/>
      <c r="IK56" s="94"/>
      <c r="IL56" s="5"/>
      <c r="IM56" s="13"/>
      <c r="IN56" s="10"/>
      <c r="IO56" s="10"/>
      <c r="IP56" s="10"/>
      <c r="IQ56" s="4"/>
      <c r="IR56" s="5"/>
      <c r="IS56" s="5"/>
      <c r="IT56" s="4"/>
      <c r="IU56" s="6"/>
      <c r="IV56" s="4"/>
    </row>
    <row r="57" spans="1:256" ht="12.75">
      <c r="A57" s="225"/>
      <c r="B57" s="215"/>
      <c r="C57" s="24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78" t="s">
        <v>650</v>
      </c>
      <c r="O57" s="279" t="s">
        <v>651</v>
      </c>
      <c r="P57" s="205"/>
      <c r="Q57" s="208"/>
      <c r="R57" s="216"/>
      <c r="S57" s="59"/>
      <c r="T57" s="43"/>
      <c r="U57" s="43"/>
      <c r="V57" s="43"/>
      <c r="W57" s="43"/>
      <c r="X57" s="43"/>
      <c r="Y57" s="43"/>
      <c r="Z57" s="46"/>
      <c r="AA57" s="4"/>
      <c r="AB57" s="59"/>
      <c r="AC57" s="66"/>
      <c r="AD57" s="43"/>
      <c r="AE57" s="43"/>
      <c r="AF57" s="43"/>
      <c r="AG57" s="43"/>
      <c r="AH57" s="43"/>
      <c r="AI57" s="43"/>
      <c r="AJ57" s="43"/>
      <c r="AK57" s="46"/>
      <c r="AL57" s="43"/>
      <c r="AM57" s="43"/>
      <c r="AN57" s="66"/>
      <c r="AO57" s="43"/>
      <c r="AP57" s="43"/>
      <c r="AQ57" s="43"/>
      <c r="AR57" s="43"/>
      <c r="AS57" s="43"/>
      <c r="AT57" s="43"/>
      <c r="AU57" s="74"/>
      <c r="AV57" s="43"/>
      <c r="AW57" s="46"/>
      <c r="AX57" s="46"/>
      <c r="AY57" s="43"/>
      <c r="AZ57" s="43"/>
      <c r="BA57" s="115"/>
      <c r="BB57" s="44" t="s">
        <v>652</v>
      </c>
      <c r="BC57" s="43"/>
      <c r="BD57" s="43"/>
      <c r="BE57" s="43"/>
      <c r="BF57" s="43"/>
      <c r="BG57" s="43"/>
      <c r="BH57" s="43"/>
      <c r="BI57" s="43"/>
      <c r="BJ57" s="87"/>
      <c r="BK57" s="43"/>
      <c r="BL57" s="43"/>
      <c r="BM57" s="43"/>
      <c r="BN57" s="66"/>
      <c r="BO57" s="43"/>
      <c r="BP57" s="43"/>
      <c r="BQ57" s="43"/>
      <c r="BR57" s="43"/>
      <c r="BS57" s="43"/>
      <c r="BT57" s="43"/>
      <c r="BU57" s="43"/>
      <c r="BV57" s="43"/>
      <c r="BW57" s="46"/>
      <c r="BX57" s="4"/>
      <c r="BY57" s="4"/>
      <c r="BZ57" s="4"/>
      <c r="CA57" s="169"/>
      <c r="CB57" s="66"/>
      <c r="CC57" s="43"/>
      <c r="CD57" s="43"/>
      <c r="CE57" s="43"/>
      <c r="CF57" s="43"/>
      <c r="CG57" s="43"/>
      <c r="CH57" s="43"/>
      <c r="CI57" s="43"/>
      <c r="CJ57" s="87"/>
      <c r="CK57" s="4"/>
      <c r="CL57" s="4"/>
      <c r="CM57" s="4"/>
      <c r="CN57" s="5"/>
      <c r="CO57" s="59"/>
      <c r="CP57" s="43"/>
      <c r="CQ57" s="43"/>
      <c r="CR57" s="43"/>
      <c r="CS57" s="43"/>
      <c r="CT57" s="43"/>
      <c r="CU57" s="43"/>
      <c r="CV57" s="43"/>
      <c r="CW57" s="46"/>
      <c r="CX57" s="4"/>
      <c r="CY57" s="4"/>
      <c r="CZ57" s="4"/>
      <c r="DA57" s="5"/>
      <c r="DB57" s="59"/>
      <c r="DC57" s="43"/>
      <c r="DD57" s="43"/>
      <c r="DE57" s="43"/>
      <c r="DF57" s="43"/>
      <c r="DG57" s="43"/>
      <c r="DH57" s="43"/>
      <c r="DI57" s="43"/>
      <c r="DJ57" s="46"/>
      <c r="DK57" s="4"/>
      <c r="DL57" s="4"/>
      <c r="DM57" s="4"/>
      <c r="DN57" s="5"/>
      <c r="DO57" s="59"/>
      <c r="DP57" s="43"/>
      <c r="DQ57" s="43"/>
      <c r="DR57" s="43"/>
      <c r="DS57" s="43"/>
      <c r="DT57" s="43"/>
      <c r="DU57" s="43"/>
      <c r="DV57" s="43"/>
      <c r="DW57" s="46"/>
      <c r="DX57" s="43"/>
      <c r="DY57" s="43"/>
      <c r="DZ57" s="4"/>
      <c r="EA57" s="5"/>
      <c r="EB57" s="59"/>
      <c r="EC57" s="43"/>
      <c r="ED57" s="43"/>
      <c r="EE57" s="43"/>
      <c r="EF57" s="43"/>
      <c r="EG57" s="43"/>
      <c r="EH57" s="43"/>
      <c r="EI57" s="43"/>
      <c r="EJ57" s="43"/>
      <c r="EK57" s="43"/>
      <c r="EL57" s="46"/>
      <c r="EM57" s="43"/>
      <c r="EN57" s="66"/>
      <c r="EO57" s="43"/>
      <c r="EP57" s="43"/>
      <c r="EQ57" s="43"/>
      <c r="ER57" s="43"/>
      <c r="ES57" s="43"/>
      <c r="ET57" s="43"/>
      <c r="EU57" s="43"/>
      <c r="EV57" s="43"/>
      <c r="EW57" s="48" t="s">
        <v>0</v>
      </c>
      <c r="EX57" s="43"/>
      <c r="EY57" s="43"/>
      <c r="EZ57" s="43"/>
      <c r="FA57" s="43"/>
      <c r="FB57" s="66"/>
      <c r="FC57" s="43"/>
      <c r="FD57" s="43"/>
      <c r="FE57" s="43"/>
      <c r="FF57" s="43"/>
      <c r="FG57" s="43"/>
      <c r="FH57" s="43"/>
      <c r="FI57" s="43"/>
      <c r="FJ57" s="43"/>
      <c r="FK57" s="46"/>
      <c r="FL57" s="4"/>
      <c r="FM57" s="4"/>
      <c r="FN57" s="417"/>
      <c r="FO57" s="66"/>
      <c r="FP57" s="43"/>
      <c r="FQ57" s="43"/>
      <c r="FR57" s="43"/>
      <c r="FS57" s="43"/>
      <c r="FT57" s="43"/>
      <c r="FU57" s="43"/>
      <c r="FV57" s="43"/>
      <c r="FW57" s="43"/>
      <c r="FX57" s="46"/>
      <c r="FY57" s="43"/>
      <c r="FZ57" s="4"/>
      <c r="GA57" s="4"/>
      <c r="GB57" s="66"/>
      <c r="GC57" s="43"/>
      <c r="GD57" s="43"/>
      <c r="GE57" s="43"/>
      <c r="GF57" s="43"/>
      <c r="GG57" s="43"/>
      <c r="GH57" s="43"/>
      <c r="GI57" s="43"/>
      <c r="GJ57" s="43"/>
      <c r="GK57" s="48" t="s">
        <v>0</v>
      </c>
      <c r="GL57" s="4"/>
      <c r="GM57" s="4"/>
      <c r="GN57" s="4"/>
      <c r="GO57" s="66"/>
      <c r="GP57" s="43"/>
      <c r="GQ57" s="43"/>
      <c r="GR57" s="43"/>
      <c r="GS57" s="43"/>
      <c r="GT57" s="43"/>
      <c r="GU57" s="43"/>
      <c r="GV57" s="43"/>
      <c r="GW57" s="43"/>
      <c r="GX57" s="43"/>
      <c r="GY57" s="48"/>
      <c r="GZ57" s="4"/>
      <c r="HA57" s="4"/>
      <c r="HB57" s="66"/>
      <c r="HC57" s="43"/>
      <c r="HD57" s="43"/>
      <c r="HE57" s="43"/>
      <c r="HF57" s="43"/>
      <c r="HG57" s="43"/>
      <c r="HH57" s="43"/>
      <c r="HI57" s="43"/>
      <c r="HJ57" s="43"/>
      <c r="HK57" s="46"/>
      <c r="HL57" s="4"/>
      <c r="HM57" s="4"/>
      <c r="HN57" s="4"/>
      <c r="HO57" s="66"/>
      <c r="HP57" s="43"/>
      <c r="HQ57" s="43"/>
      <c r="HR57" s="43"/>
      <c r="HS57" s="43"/>
      <c r="HT57" s="43"/>
      <c r="HU57" s="43"/>
      <c r="HV57" s="43"/>
      <c r="HW57" s="429"/>
      <c r="HX57" s="43"/>
      <c r="HY57" s="46"/>
      <c r="HZ57" s="4"/>
      <c r="IA57" s="59"/>
      <c r="IB57" s="66" t="s">
        <v>653</v>
      </c>
      <c r="IC57" s="43"/>
      <c r="ID57" s="43"/>
      <c r="IE57" s="43"/>
      <c r="IF57" s="43"/>
      <c r="IG57" s="43"/>
      <c r="IH57" s="43"/>
      <c r="II57" s="43"/>
      <c r="IJ57" s="43"/>
      <c r="IK57" s="46"/>
      <c r="IL57" s="4"/>
      <c r="IM57" s="13"/>
      <c r="IN57" s="13"/>
      <c r="IO57" s="13"/>
      <c r="IP57" s="13"/>
      <c r="IQ57" s="4"/>
      <c r="IR57" s="4"/>
      <c r="IS57" s="4"/>
      <c r="IT57" s="4"/>
      <c r="IU57" s="4"/>
      <c r="IV57" s="4"/>
    </row>
    <row r="58" spans="1:256" ht="13.5" thickBot="1">
      <c r="A58" s="225"/>
      <c r="B58" s="217"/>
      <c r="C58" s="247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9"/>
      <c r="P58" s="218"/>
      <c r="Q58" s="219"/>
      <c r="R58" s="220"/>
      <c r="S58" s="67"/>
      <c r="T58" s="50"/>
      <c r="U58" s="50"/>
      <c r="V58" s="50"/>
      <c r="W58" s="50"/>
      <c r="X58" s="50"/>
      <c r="Y58" s="68" t="s">
        <v>0</v>
      </c>
      <c r="Z58" s="51"/>
      <c r="AA58" s="4"/>
      <c r="AB58" s="67"/>
      <c r="AC58" s="67"/>
      <c r="AD58" s="50"/>
      <c r="AE58" s="50"/>
      <c r="AF58" s="50"/>
      <c r="AG58" s="50"/>
      <c r="AH58" s="50"/>
      <c r="AI58" s="50"/>
      <c r="AJ58" s="50"/>
      <c r="AK58" s="51"/>
      <c r="AL58" s="43"/>
      <c r="AM58" s="43"/>
      <c r="AN58" s="67"/>
      <c r="AO58" s="50"/>
      <c r="AP58" s="50"/>
      <c r="AQ58" s="50"/>
      <c r="AR58" s="50"/>
      <c r="AS58" s="50"/>
      <c r="AT58" s="50"/>
      <c r="AU58" s="50"/>
      <c r="AV58" s="50"/>
      <c r="AW58" s="51"/>
      <c r="AX58" s="51"/>
      <c r="AY58" s="43"/>
      <c r="AZ58" s="43"/>
      <c r="BA58" s="67"/>
      <c r="BB58" s="50"/>
      <c r="BC58" s="50"/>
      <c r="BD58" s="50"/>
      <c r="BE58" s="50"/>
      <c r="BF58" s="50"/>
      <c r="BG58" s="50"/>
      <c r="BH58" s="50"/>
      <c r="BI58" s="50"/>
      <c r="BJ58" s="88"/>
      <c r="BK58" s="43"/>
      <c r="BL58" s="43"/>
      <c r="BM58" s="43"/>
      <c r="BN58" s="67"/>
      <c r="BO58" s="50"/>
      <c r="BP58" s="50"/>
      <c r="BQ58" s="50"/>
      <c r="BR58" s="50"/>
      <c r="BS58" s="50"/>
      <c r="BT58" s="50"/>
      <c r="BU58" s="50"/>
      <c r="BV58" s="50"/>
      <c r="BW58" s="51"/>
      <c r="BX58" s="4"/>
      <c r="BY58" s="4"/>
      <c r="BZ58" s="4"/>
      <c r="CA58" s="4"/>
      <c r="CB58" s="67"/>
      <c r="CC58" s="50"/>
      <c r="CD58" s="50"/>
      <c r="CE58" s="50"/>
      <c r="CF58" s="50"/>
      <c r="CG58" s="50"/>
      <c r="CH58" s="50"/>
      <c r="CI58" s="50"/>
      <c r="CJ58" s="88"/>
      <c r="CK58" s="4"/>
      <c r="CL58" s="4"/>
      <c r="CM58" s="4"/>
      <c r="CN58" s="4"/>
      <c r="CO58" s="67"/>
      <c r="CP58" s="50"/>
      <c r="CQ58" s="50"/>
      <c r="CR58" s="50"/>
      <c r="CS58" s="50"/>
      <c r="CT58" s="50"/>
      <c r="CU58" s="50"/>
      <c r="CV58" s="50"/>
      <c r="CW58" s="51"/>
      <c r="CX58" s="4"/>
      <c r="CY58" s="4"/>
      <c r="CZ58" s="4"/>
      <c r="DA58" s="4"/>
      <c r="DB58" s="67"/>
      <c r="DC58" s="50"/>
      <c r="DD58" s="50"/>
      <c r="DE58" s="50"/>
      <c r="DF58" s="50"/>
      <c r="DG58" s="50"/>
      <c r="DH58" s="50"/>
      <c r="DI58" s="50"/>
      <c r="DJ58" s="51"/>
      <c r="DK58" s="4"/>
      <c r="DL58" s="4"/>
      <c r="DM58" s="4"/>
      <c r="DN58" s="4"/>
      <c r="DO58" s="67"/>
      <c r="DP58" s="50"/>
      <c r="DQ58" s="50"/>
      <c r="DR58" s="50"/>
      <c r="DS58" s="50"/>
      <c r="DT58" s="50"/>
      <c r="DU58" s="50"/>
      <c r="DV58" s="50"/>
      <c r="DW58" s="51"/>
      <c r="DX58" s="43"/>
      <c r="DY58" s="43"/>
      <c r="DZ58" s="4"/>
      <c r="EA58" s="4"/>
      <c r="EB58" s="67"/>
      <c r="EC58" s="50"/>
      <c r="ED58" s="50"/>
      <c r="EE58" s="50"/>
      <c r="EF58" s="50"/>
      <c r="EG58" s="50"/>
      <c r="EH58" s="50"/>
      <c r="EI58" s="50"/>
      <c r="EJ58" s="50"/>
      <c r="EK58" s="50"/>
      <c r="EL58" s="51"/>
      <c r="EM58" s="43"/>
      <c r="EN58" s="67"/>
      <c r="EO58" s="50"/>
      <c r="EP58" s="50"/>
      <c r="EQ58" s="50"/>
      <c r="ER58" s="50"/>
      <c r="ES58" s="50"/>
      <c r="ET58" s="50"/>
      <c r="EU58" s="50"/>
      <c r="EV58" s="50"/>
      <c r="EW58" s="51"/>
      <c r="EX58" s="43"/>
      <c r="EY58" s="43"/>
      <c r="EZ58" s="43"/>
      <c r="FA58" s="43"/>
      <c r="FB58" s="67"/>
      <c r="FC58" s="50"/>
      <c r="FD58" s="50"/>
      <c r="FE58" s="50"/>
      <c r="FF58" s="50"/>
      <c r="FG58" s="50"/>
      <c r="FH58" s="50"/>
      <c r="FI58" s="50"/>
      <c r="FJ58" s="50"/>
      <c r="FK58" s="51"/>
      <c r="FL58" s="4"/>
      <c r="FM58" s="4"/>
      <c r="FN58" s="418"/>
      <c r="FO58" s="67"/>
      <c r="FP58" s="50"/>
      <c r="FQ58" s="50"/>
      <c r="FR58" s="50"/>
      <c r="FS58" s="50"/>
      <c r="FT58" s="50"/>
      <c r="FU58" s="50"/>
      <c r="FV58" s="50"/>
      <c r="FW58" s="50"/>
      <c r="FX58" s="51"/>
      <c r="FY58" s="43"/>
      <c r="FZ58" s="4"/>
      <c r="GA58" s="4"/>
      <c r="GB58" s="139"/>
      <c r="GC58" s="50"/>
      <c r="GD58" s="50"/>
      <c r="GE58" s="50"/>
      <c r="GF58" s="50"/>
      <c r="GG58" s="50"/>
      <c r="GH58" s="50"/>
      <c r="GI58" s="50"/>
      <c r="GJ58" s="50"/>
      <c r="GK58" s="140" t="s">
        <v>0</v>
      </c>
      <c r="GL58" s="4"/>
      <c r="GM58" s="4"/>
      <c r="GN58" s="4"/>
      <c r="GO58" s="67"/>
      <c r="GP58" s="50"/>
      <c r="GQ58" s="50"/>
      <c r="GR58" s="50"/>
      <c r="GS58" s="50"/>
      <c r="GT58" s="50"/>
      <c r="GU58" s="50"/>
      <c r="GV58" s="50"/>
      <c r="GW58" s="50"/>
      <c r="GX58" s="50"/>
      <c r="GY58" s="140"/>
      <c r="GZ58" s="4"/>
      <c r="HA58" s="4"/>
      <c r="HB58" s="67"/>
      <c r="HC58" s="50"/>
      <c r="HD58" s="50"/>
      <c r="HE58" s="50"/>
      <c r="HF58" s="50"/>
      <c r="HG58" s="50"/>
      <c r="HH58" s="50"/>
      <c r="HI58" s="50"/>
      <c r="HJ58" s="50"/>
      <c r="HK58" s="51"/>
      <c r="HL58" s="4"/>
      <c r="HM58" s="4"/>
      <c r="HN58" s="4"/>
      <c r="HO58" s="67"/>
      <c r="HP58" s="50"/>
      <c r="HQ58" s="50"/>
      <c r="HR58" s="50"/>
      <c r="HS58" s="50"/>
      <c r="HT58" s="50"/>
      <c r="HU58" s="50"/>
      <c r="HV58" s="50"/>
      <c r="HW58" s="50"/>
      <c r="HX58" s="50"/>
      <c r="HY58" s="140"/>
      <c r="HZ58" s="50"/>
      <c r="IA58" s="67"/>
      <c r="IB58" s="67"/>
      <c r="IC58" s="50"/>
      <c r="ID58" s="50"/>
      <c r="IE58" s="50"/>
      <c r="IF58" s="50"/>
      <c r="IG58" s="50"/>
      <c r="IH58" s="50"/>
      <c r="II58" s="50"/>
      <c r="IJ58" s="50"/>
      <c r="IK58" s="51"/>
      <c r="IL58" s="4"/>
      <c r="IM58" s="13"/>
      <c r="IN58" s="13"/>
      <c r="IO58" s="13"/>
      <c r="IP58" s="13"/>
      <c r="IQ58" s="4"/>
      <c r="IR58" s="4"/>
      <c r="IS58" s="4"/>
      <c r="IT58" s="4"/>
      <c r="IU58" s="4"/>
      <c r="IV58" s="4"/>
    </row>
    <row r="59" spans="1:256" ht="13.5" thickBot="1">
      <c r="A59" s="272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S59" s="4"/>
      <c r="T59" s="4"/>
      <c r="U59" s="4"/>
      <c r="V59" s="4"/>
      <c r="W59" s="4"/>
      <c r="X59" s="4"/>
      <c r="Y59" s="11">
        <f>((Y55-Y30)/355)/BD2</f>
        <v>1.620325718309859</v>
      </c>
      <c r="Z59" s="4"/>
      <c r="AA59" s="4"/>
      <c r="AB59" s="4"/>
      <c r="AC59" s="4"/>
      <c r="AD59" s="4"/>
      <c r="AE59" s="4"/>
      <c r="AF59" s="4"/>
      <c r="AG59" s="11"/>
      <c r="AH59" s="4"/>
      <c r="AI59" s="13"/>
      <c r="AJ59" s="43"/>
      <c r="AK59" s="4"/>
      <c r="AL59" s="43"/>
      <c r="AM59" s="43"/>
      <c r="AN59" s="43"/>
      <c r="AO59" s="4"/>
      <c r="AP59" s="4"/>
      <c r="AQ59" s="4"/>
      <c r="AR59" s="4"/>
      <c r="AS59" s="4"/>
      <c r="AT59" s="4"/>
      <c r="AU59" s="4"/>
      <c r="AV59" s="4"/>
      <c r="AW59" s="43"/>
      <c r="AX59" s="43"/>
      <c r="AY59" s="43"/>
      <c r="AZ59" s="43"/>
      <c r="BA59" s="4"/>
      <c r="BB59" s="4"/>
      <c r="BC59" s="4"/>
      <c r="BD59" s="4"/>
      <c r="BE59" s="4"/>
      <c r="BF59" s="4"/>
      <c r="BG59" s="4"/>
      <c r="BH59" s="4"/>
      <c r="BI59" s="4"/>
      <c r="BJ59" s="29"/>
      <c r="BK59" s="43"/>
      <c r="BL59" s="43"/>
      <c r="BM59" s="43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29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3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3"/>
      <c r="EU59" s="43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6"/>
      <c r="GP59" s="5"/>
      <c r="GQ59" s="5"/>
      <c r="GR59" s="5"/>
      <c r="GS59" s="5"/>
      <c r="GT59" s="5"/>
      <c r="GU59" s="5"/>
      <c r="GV59" s="5"/>
      <c r="GW59" s="4"/>
      <c r="GX59" s="5"/>
      <c r="GY59" s="6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6"/>
      <c r="HP59" s="5"/>
      <c r="HQ59" s="5"/>
      <c r="HR59" s="5"/>
      <c r="HS59" s="5"/>
      <c r="HT59" s="5"/>
      <c r="HU59" s="5"/>
      <c r="HV59" s="5"/>
      <c r="HW59" s="4"/>
      <c r="HX59" s="5"/>
      <c r="HY59" s="6"/>
      <c r="HZ59" s="4"/>
      <c r="IA59" s="6"/>
      <c r="IB59" s="5"/>
      <c r="IC59" s="5"/>
      <c r="ID59" s="5"/>
      <c r="IE59" s="5"/>
      <c r="IF59" s="5"/>
      <c r="IG59" s="5"/>
      <c r="IH59" s="5"/>
      <c r="II59" s="4"/>
      <c r="IJ59" s="5"/>
      <c r="IK59" s="6"/>
      <c r="IL59" s="4"/>
      <c r="IM59" s="13"/>
      <c r="IN59" s="13"/>
      <c r="IO59" s="13"/>
      <c r="IP59" s="13"/>
      <c r="IQ59" s="4"/>
      <c r="IR59" s="4"/>
      <c r="IS59" s="4"/>
      <c r="IT59" s="4"/>
      <c r="IU59" s="4"/>
      <c r="IV59" s="4"/>
    </row>
    <row r="60" spans="1:256" ht="13.5" thickBot="1">
      <c r="A60" s="272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1">
        <f>(Y55)-(SUM(AJ9:AJ15))</f>
        <v>115043.12599999999</v>
      </c>
      <c r="N60" s="221"/>
      <c r="O60" s="220"/>
      <c r="P60" s="220"/>
      <c r="Q60" s="220"/>
      <c r="R60" s="22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18"/>
      <c r="AH60" s="4"/>
      <c r="AI60" s="484"/>
      <c r="AJ60" s="485"/>
      <c r="AK60" s="4"/>
      <c r="AL60" s="43"/>
      <c r="AM60" s="43"/>
      <c r="AN60" s="43"/>
      <c r="AO60" s="4"/>
      <c r="AP60" s="4"/>
      <c r="AQ60" s="4"/>
      <c r="AR60" s="4"/>
      <c r="AS60" s="4"/>
      <c r="AT60" s="4"/>
      <c r="AU60" s="4"/>
      <c r="AV60" s="4"/>
      <c r="AW60" s="43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4"/>
      <c r="CB60" s="43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3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3"/>
      <c r="EU60" s="43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6"/>
      <c r="GP60" s="144" t="s">
        <v>123</v>
      </c>
      <c r="GQ60" s="124"/>
      <c r="GR60" s="124"/>
      <c r="GS60" s="124"/>
      <c r="GT60" s="124"/>
      <c r="GU60" s="124"/>
      <c r="GV60" s="124"/>
      <c r="GW60" s="124"/>
      <c r="GX60" s="125" t="s">
        <v>654</v>
      </c>
      <c r="GY60" s="6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154"/>
      <c r="HP60" s="178" t="s">
        <v>123</v>
      </c>
      <c r="HQ60" s="179"/>
      <c r="HR60" s="179"/>
      <c r="HS60" s="179"/>
      <c r="HT60" s="124"/>
      <c r="HU60" s="124"/>
      <c r="HV60" s="124"/>
      <c r="HW60" s="124"/>
      <c r="HX60" s="155" t="s">
        <v>654</v>
      </c>
      <c r="HY60" s="160"/>
      <c r="HZ60" s="124"/>
      <c r="IA60" s="154"/>
      <c r="IB60" s="123"/>
      <c r="IC60" s="124"/>
      <c r="ID60" s="124"/>
      <c r="IE60" s="124"/>
      <c r="IF60" s="124"/>
      <c r="IG60" s="124"/>
      <c r="IH60" s="124"/>
      <c r="II60" s="124"/>
      <c r="IJ60" s="155" t="s">
        <v>655</v>
      </c>
      <c r="IK60" s="156"/>
      <c r="IL60" s="5" t="s">
        <v>27</v>
      </c>
      <c r="IM60" s="10" t="s">
        <v>27</v>
      </c>
      <c r="IN60" s="10" t="s">
        <v>27</v>
      </c>
      <c r="IO60" s="10" t="s">
        <v>27</v>
      </c>
      <c r="IP60" s="10" t="s">
        <v>27</v>
      </c>
      <c r="IQ60" s="5" t="s">
        <v>27</v>
      </c>
      <c r="IR60" s="4"/>
      <c r="IS60" s="4"/>
      <c r="IT60" s="4"/>
      <c r="IU60" s="4"/>
      <c r="IV60" s="4"/>
    </row>
    <row r="61" spans="1:256" ht="15.75">
      <c r="A61" s="272"/>
      <c r="B61" s="222"/>
      <c r="C61" s="268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4"/>
      <c r="P61" s="223"/>
      <c r="Q61" s="224"/>
      <c r="R61" s="22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5"/>
      <c r="AF61" s="4"/>
      <c r="AG61" s="4"/>
      <c r="AH61" s="4"/>
      <c r="AI61" s="4"/>
      <c r="AJ61" s="43"/>
      <c r="AK61" s="4"/>
      <c r="AL61" s="43"/>
      <c r="AM61" s="43"/>
      <c r="AN61" s="43"/>
      <c r="AO61" s="4"/>
      <c r="AP61" s="4"/>
      <c r="AQ61" s="4"/>
      <c r="AR61" s="4"/>
      <c r="AS61" s="4"/>
      <c r="AT61" s="4"/>
      <c r="AU61" s="4"/>
      <c r="AV61" s="4"/>
      <c r="AW61" s="43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6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6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3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3"/>
      <c r="EU61" s="43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6"/>
      <c r="GP61" s="59"/>
      <c r="GQ61" s="145" t="s">
        <v>656</v>
      </c>
      <c r="GR61" s="145" t="s">
        <v>657</v>
      </c>
      <c r="GS61" s="111"/>
      <c r="GT61" s="43"/>
      <c r="GU61" s="43"/>
      <c r="GV61" s="43"/>
      <c r="GW61" s="43"/>
      <c r="GX61" s="46"/>
      <c r="GY61" s="6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70"/>
      <c r="HP61" s="55"/>
      <c r="HQ61" s="57" t="s">
        <v>656</v>
      </c>
      <c r="HR61" s="57" t="s">
        <v>657</v>
      </c>
      <c r="HS61" s="55"/>
      <c r="HT61" s="43"/>
      <c r="HU61" s="43"/>
      <c r="HV61" s="43"/>
      <c r="HW61" s="43"/>
      <c r="HX61" s="43"/>
      <c r="HY61" s="45"/>
      <c r="HZ61" s="43"/>
      <c r="IA61" s="70"/>
      <c r="IB61" s="59"/>
      <c r="IC61" s="145" t="s">
        <v>47</v>
      </c>
      <c r="ID61" s="145" t="s">
        <v>658</v>
      </c>
      <c r="IE61" s="111"/>
      <c r="IF61" s="111"/>
      <c r="IG61" s="43"/>
      <c r="IH61" s="43"/>
      <c r="II61" s="43"/>
      <c r="IJ61" s="43"/>
      <c r="IK61" s="94"/>
      <c r="IL61" s="11">
        <f aca="true" t="shared" si="106" ref="IL61:IL99">IF((FA15)=1,0,(FJ15))</f>
        <v>180</v>
      </c>
      <c r="IM61" s="13">
        <f aca="true" t="shared" si="107" ref="IM61:IM99">IF((FN15)=1,0,(FW15))</f>
        <v>0</v>
      </c>
      <c r="IN61" s="13">
        <f aca="true" t="shared" si="108" ref="IN61:IN99">IF((GA15)=1,0,(GJ15))</f>
        <v>45</v>
      </c>
      <c r="IO61" s="13">
        <f aca="true" t="shared" si="109" ref="IO61:IO99">IF((GN15)=1,0,(GW15))</f>
        <v>0</v>
      </c>
      <c r="IP61" s="13">
        <f aca="true" t="shared" si="110" ref="IP61:IP79">IF((HA15)=1,0,(HJ15))</f>
        <v>554.4</v>
      </c>
      <c r="IQ61" s="11">
        <f aca="true" t="shared" si="111" ref="IQ61:IQ69">IF((HN45)=1,0,(HW45))</f>
        <v>0</v>
      </c>
      <c r="IR61" s="4"/>
      <c r="IS61" s="4"/>
      <c r="IT61" s="4"/>
      <c r="IU61" s="4"/>
      <c r="IV61" s="4"/>
    </row>
    <row r="62" spans="1:256" ht="12.75">
      <c r="A62" s="272"/>
      <c r="B62" s="204"/>
      <c r="C62" s="24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14"/>
      <c r="P62" s="207"/>
      <c r="Q62" s="208"/>
      <c r="R62" s="220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5"/>
      <c r="AF62" s="13"/>
      <c r="AG62" s="4"/>
      <c r="AH62" s="4"/>
      <c r="AI62" s="11"/>
      <c r="AJ62" s="43"/>
      <c r="AK62" s="4"/>
      <c r="AL62" s="43"/>
      <c r="AM62" s="43"/>
      <c r="AN62" s="4"/>
      <c r="AO62" s="4"/>
      <c r="AP62" s="4"/>
      <c r="AQ62" s="4"/>
      <c r="AR62" s="4"/>
      <c r="AS62" s="4"/>
      <c r="AT62" s="4"/>
      <c r="AU62" s="4"/>
      <c r="AV62" s="4"/>
      <c r="AW62" s="43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6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3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3"/>
      <c r="EU62" s="43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6"/>
      <c r="GP62" s="59"/>
      <c r="GQ62" s="44" t="s">
        <v>659</v>
      </c>
      <c r="GR62" s="43"/>
      <c r="GS62" s="60" t="s">
        <v>660</v>
      </c>
      <c r="GT62" s="60" t="s">
        <v>661</v>
      </c>
      <c r="GU62" s="43"/>
      <c r="GV62" s="43"/>
      <c r="GW62" s="58">
        <f>(IK4)</f>
        <v>0</v>
      </c>
      <c r="GX62" s="46"/>
      <c r="GY62" s="6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70"/>
      <c r="HP62" s="43"/>
      <c r="HQ62" s="44" t="s">
        <v>659</v>
      </c>
      <c r="HR62" s="43"/>
      <c r="HS62" s="60" t="s">
        <v>660</v>
      </c>
      <c r="HT62" s="60" t="s">
        <v>661</v>
      </c>
      <c r="HU62" s="43"/>
      <c r="HV62" s="43"/>
      <c r="HW62" s="309" t="str">
        <f>M4</f>
        <v>CAI4anoL.xls</v>
      </c>
      <c r="HX62" s="43"/>
      <c r="HY62" s="45"/>
      <c r="HZ62" s="43"/>
      <c r="IA62" s="70"/>
      <c r="IB62" s="59"/>
      <c r="IC62" s="43"/>
      <c r="ID62" s="43"/>
      <c r="IE62" s="43"/>
      <c r="IF62" s="43"/>
      <c r="IG62" s="43"/>
      <c r="IH62" s="43"/>
      <c r="II62" s="309" t="str">
        <f>M4</f>
        <v>CAI4anoL.xls</v>
      </c>
      <c r="IJ62" s="43"/>
      <c r="IK62" s="94"/>
      <c r="IL62" s="11">
        <f t="shared" si="106"/>
        <v>120</v>
      </c>
      <c r="IM62" s="13">
        <f t="shared" si="107"/>
        <v>0</v>
      </c>
      <c r="IN62" s="13">
        <f t="shared" si="108"/>
        <v>0</v>
      </c>
      <c r="IO62" s="13">
        <f t="shared" si="109"/>
        <v>0</v>
      </c>
      <c r="IP62" s="13">
        <f t="shared" si="110"/>
        <v>282.24</v>
      </c>
      <c r="IQ62" s="11">
        <f t="shared" si="111"/>
        <v>45</v>
      </c>
      <c r="IR62" s="4"/>
      <c r="IS62" s="4"/>
      <c r="IT62" s="4"/>
      <c r="IU62" s="4"/>
      <c r="IV62" s="4"/>
    </row>
    <row r="63" spans="1:256" ht="12.75">
      <c r="A63" s="272"/>
      <c r="B63" s="204"/>
      <c r="C63" s="245"/>
      <c r="D63" s="205"/>
      <c r="E63" s="205"/>
      <c r="F63" s="205"/>
      <c r="G63" s="205"/>
      <c r="H63" s="205"/>
      <c r="I63" s="205"/>
      <c r="J63" s="205"/>
      <c r="K63" s="205"/>
      <c r="L63" s="205"/>
      <c r="M63" s="206" t="s">
        <v>662</v>
      </c>
      <c r="N63" s="206"/>
      <c r="O63" s="265" t="s">
        <v>2</v>
      </c>
      <c r="P63" s="207"/>
      <c r="Q63" s="208"/>
      <c r="R63" s="220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3"/>
      <c r="AK63" s="4"/>
      <c r="AL63" s="43"/>
      <c r="AM63" s="43"/>
      <c r="AN63" s="4"/>
      <c r="AO63" s="4"/>
      <c r="AP63" s="4"/>
      <c r="AQ63" s="4"/>
      <c r="AR63" s="4"/>
      <c r="AS63" s="4"/>
      <c r="AT63" s="4"/>
      <c r="AU63" s="4"/>
      <c r="AV63" s="4"/>
      <c r="AW63" s="43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6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6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3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3"/>
      <c r="EU63" s="43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6"/>
      <c r="GP63" s="59"/>
      <c r="GQ63" s="44" t="s">
        <v>663</v>
      </c>
      <c r="GR63" s="43"/>
      <c r="GS63" s="58">
        <v>0</v>
      </c>
      <c r="GT63" s="58">
        <v>0</v>
      </c>
      <c r="GU63" s="43"/>
      <c r="GV63" s="43"/>
      <c r="GW63" s="43"/>
      <c r="GX63" s="46"/>
      <c r="GY63" s="6"/>
      <c r="GZ63" s="4"/>
      <c r="HA63" s="4"/>
      <c r="HB63" s="4"/>
      <c r="HC63" s="4"/>
      <c r="HD63" s="4"/>
      <c r="HE63" s="4"/>
      <c r="HF63" s="8"/>
      <c r="HG63" s="4"/>
      <c r="HH63" s="4"/>
      <c r="HI63" s="4"/>
      <c r="HJ63" s="4"/>
      <c r="HK63" s="4"/>
      <c r="HL63" s="4"/>
      <c r="HM63" s="4"/>
      <c r="HN63" s="4"/>
      <c r="HO63" s="70"/>
      <c r="HP63" s="43"/>
      <c r="HQ63" s="44" t="s">
        <v>663</v>
      </c>
      <c r="HR63" s="43"/>
      <c r="HS63" s="58">
        <v>0</v>
      </c>
      <c r="HT63" s="58">
        <v>0</v>
      </c>
      <c r="HU63" s="43"/>
      <c r="HV63" s="43"/>
      <c r="HW63" s="43"/>
      <c r="HX63" s="43"/>
      <c r="HY63" s="45"/>
      <c r="HZ63" s="43"/>
      <c r="IA63" s="70"/>
      <c r="IB63" s="59"/>
      <c r="IC63" s="43"/>
      <c r="ID63" s="43"/>
      <c r="IE63" s="43"/>
      <c r="IF63" s="43"/>
      <c r="IG63" s="43"/>
      <c r="IH63" s="43"/>
      <c r="II63" s="43"/>
      <c r="IJ63" s="43"/>
      <c r="IK63" s="94"/>
      <c r="IL63" s="11">
        <f t="shared" si="106"/>
        <v>120</v>
      </c>
      <c r="IM63" s="13">
        <f t="shared" si="107"/>
        <v>0</v>
      </c>
      <c r="IN63" s="13">
        <f t="shared" si="108"/>
        <v>0</v>
      </c>
      <c r="IO63" s="13">
        <f t="shared" si="109"/>
        <v>0</v>
      </c>
      <c r="IP63" s="13">
        <f t="shared" si="110"/>
        <v>386.304</v>
      </c>
      <c r="IQ63" s="11">
        <f t="shared" si="111"/>
        <v>0</v>
      </c>
      <c r="IR63" s="4"/>
      <c r="IS63" s="4"/>
      <c r="IT63" s="4"/>
      <c r="IU63" s="4"/>
      <c r="IV63" s="4"/>
    </row>
    <row r="64" spans="1:256" ht="13.5" thickBot="1">
      <c r="A64" s="272"/>
      <c r="B64" s="204"/>
      <c r="C64" s="24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8"/>
      <c r="P64" s="207"/>
      <c r="Q64" s="208"/>
      <c r="R64" s="220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17"/>
      <c r="AE64" s="11"/>
      <c r="AF64" s="4"/>
      <c r="AG64" s="17"/>
      <c r="AH64" s="11"/>
      <c r="AI64" s="4"/>
      <c r="AJ64" s="43"/>
      <c r="AK64" s="4"/>
      <c r="AL64" s="43"/>
      <c r="AM64" s="43"/>
      <c r="AN64" s="4"/>
      <c r="AO64" s="4"/>
      <c r="AP64" s="4"/>
      <c r="AQ64" s="4"/>
      <c r="AR64" s="4"/>
      <c r="AS64" s="4"/>
      <c r="AT64" s="4"/>
      <c r="AU64" s="4"/>
      <c r="AV64" s="4"/>
      <c r="AW64" s="43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6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6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3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3"/>
      <c r="EU64" s="43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6"/>
      <c r="GP64" s="59"/>
      <c r="GQ64" s="47" t="s">
        <v>664</v>
      </c>
      <c r="GR64" s="43"/>
      <c r="GS64" s="146">
        <f>1/100</f>
        <v>0.01</v>
      </c>
      <c r="GT64" s="147">
        <f>3.5/100</f>
        <v>0.035</v>
      </c>
      <c r="GU64" s="43"/>
      <c r="GV64" s="43"/>
      <c r="GW64" s="43"/>
      <c r="GX64" s="134"/>
      <c r="GY64" s="6"/>
      <c r="GZ64" s="4"/>
      <c r="HA64" s="4"/>
      <c r="HB64" s="4"/>
      <c r="HC64" s="4"/>
      <c r="HD64" s="4"/>
      <c r="HE64" s="4"/>
      <c r="HF64" s="8"/>
      <c r="HG64" s="4"/>
      <c r="HH64" s="4"/>
      <c r="HI64" s="4"/>
      <c r="HJ64" s="4"/>
      <c r="HK64" s="4"/>
      <c r="HL64" s="4"/>
      <c r="HM64" s="4"/>
      <c r="HN64" s="4"/>
      <c r="HO64" s="70"/>
      <c r="HP64" s="43"/>
      <c r="HQ64" s="47" t="s">
        <v>664</v>
      </c>
      <c r="HR64" s="43"/>
      <c r="HS64" s="147">
        <f>2.5/100</f>
        <v>0.025</v>
      </c>
      <c r="HT64" s="147">
        <f>2.5/100</f>
        <v>0.025</v>
      </c>
      <c r="HU64" s="43"/>
      <c r="HV64" s="43"/>
      <c r="HW64" s="43"/>
      <c r="HX64" s="71"/>
      <c r="HY64" s="45"/>
      <c r="HZ64" s="43"/>
      <c r="IA64" s="70"/>
      <c r="IB64" s="59"/>
      <c r="IC64" s="44" t="s">
        <v>90</v>
      </c>
      <c r="ID64" s="43"/>
      <c r="IE64" s="44" t="s">
        <v>665</v>
      </c>
      <c r="IF64" s="309">
        <f>(AU37)</f>
        <v>1270</v>
      </c>
      <c r="IG64" s="44" t="s">
        <v>491</v>
      </c>
      <c r="IH64" s="43"/>
      <c r="II64" s="43"/>
      <c r="IJ64" s="71"/>
      <c r="IK64" s="94"/>
      <c r="IL64" s="11">
        <f t="shared" si="106"/>
        <v>120</v>
      </c>
      <c r="IM64" s="13">
        <f t="shared" si="107"/>
        <v>0</v>
      </c>
      <c r="IN64" s="13">
        <f t="shared" si="108"/>
        <v>0</v>
      </c>
      <c r="IO64" s="13">
        <f t="shared" si="109"/>
        <v>0</v>
      </c>
      <c r="IP64" s="13">
        <f t="shared" si="110"/>
        <v>0</v>
      </c>
      <c r="IQ64" s="11">
        <f t="shared" si="111"/>
        <v>180</v>
      </c>
      <c r="IR64" s="4"/>
      <c r="IS64" s="4"/>
      <c r="IT64" s="4"/>
      <c r="IU64" s="4"/>
      <c r="IV64" s="4"/>
    </row>
    <row r="65" spans="1:256" ht="12.75">
      <c r="A65" s="272"/>
      <c r="B65" s="204"/>
      <c r="C65" s="245"/>
      <c r="D65" s="205"/>
      <c r="E65" s="225"/>
      <c r="F65" s="205"/>
      <c r="G65" s="211" t="s">
        <v>666</v>
      </c>
      <c r="H65" s="211"/>
      <c r="I65" s="211"/>
      <c r="J65" s="205"/>
      <c r="K65" s="205"/>
      <c r="L65" s="205"/>
      <c r="M65" s="205"/>
      <c r="N65" s="205"/>
      <c r="O65" s="269" t="s">
        <v>667</v>
      </c>
      <c r="P65" s="207"/>
      <c r="Q65" s="208"/>
      <c r="R65" s="220"/>
      <c r="S65" s="123"/>
      <c r="T65" s="124"/>
      <c r="U65" s="124"/>
      <c r="V65" s="124"/>
      <c r="W65" s="124"/>
      <c r="X65" s="124"/>
      <c r="Y65" s="124"/>
      <c r="Z65" s="180"/>
      <c r="AA65" s="4"/>
      <c r="AB65" s="4"/>
      <c r="AC65" s="4"/>
      <c r="AD65" s="4"/>
      <c r="AE65" s="4"/>
      <c r="AF65" s="4"/>
      <c r="AG65" s="4"/>
      <c r="AH65" s="4"/>
      <c r="AI65" s="4"/>
      <c r="AJ65" s="43"/>
      <c r="AK65" s="4"/>
      <c r="AL65" s="43"/>
      <c r="AM65" s="43"/>
      <c r="AN65" s="4"/>
      <c r="AO65" s="4"/>
      <c r="AP65" s="4"/>
      <c r="AQ65" s="4"/>
      <c r="AR65" s="4"/>
      <c r="AS65" s="4"/>
      <c r="AT65" s="4"/>
      <c r="AU65" s="4"/>
      <c r="AV65" s="4"/>
      <c r="AW65" s="43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6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3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3"/>
      <c r="EU65" s="43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6"/>
      <c r="GP65" s="59"/>
      <c r="GQ65" s="43"/>
      <c r="GR65" s="43"/>
      <c r="GS65" s="43"/>
      <c r="GT65" s="43"/>
      <c r="GU65" s="43"/>
      <c r="GV65" s="43"/>
      <c r="GW65" s="43"/>
      <c r="GX65" s="46"/>
      <c r="GY65" s="6"/>
      <c r="GZ65" s="4"/>
      <c r="HA65" s="4"/>
      <c r="HB65" s="4"/>
      <c r="HC65" s="4"/>
      <c r="HD65" s="4"/>
      <c r="HE65" s="4"/>
      <c r="HF65" s="8"/>
      <c r="HG65" s="4"/>
      <c r="HH65" s="4"/>
      <c r="HI65" s="4"/>
      <c r="HJ65" s="4"/>
      <c r="HK65" s="4"/>
      <c r="HL65" s="4"/>
      <c r="HM65" s="4"/>
      <c r="HN65" s="4"/>
      <c r="HO65" s="70"/>
      <c r="HP65" s="43"/>
      <c r="HQ65" s="43"/>
      <c r="HR65" s="43"/>
      <c r="HS65" s="43"/>
      <c r="HT65" s="43"/>
      <c r="HU65" s="43"/>
      <c r="HV65" s="43"/>
      <c r="HW65" s="43"/>
      <c r="HX65" s="43"/>
      <c r="HY65" s="45"/>
      <c r="HZ65" s="43"/>
      <c r="IA65" s="70"/>
      <c r="IB65" s="59"/>
      <c r="IC65" s="44" t="s">
        <v>106</v>
      </c>
      <c r="ID65" s="43"/>
      <c r="IE65" s="44" t="s">
        <v>668</v>
      </c>
      <c r="IF65" s="58">
        <v>0.9</v>
      </c>
      <c r="IG65" s="44" t="s">
        <v>669</v>
      </c>
      <c r="IH65" s="43"/>
      <c r="II65" s="43"/>
      <c r="IJ65" s="43"/>
      <c r="IK65" s="94"/>
      <c r="IL65" s="11">
        <f t="shared" si="106"/>
        <v>144</v>
      </c>
      <c r="IM65" s="13">
        <f t="shared" si="107"/>
        <v>0</v>
      </c>
      <c r="IN65" s="13">
        <f t="shared" si="108"/>
        <v>0</v>
      </c>
      <c r="IO65" s="13">
        <f t="shared" si="109"/>
        <v>0</v>
      </c>
      <c r="IP65" s="13">
        <f t="shared" si="110"/>
        <v>0</v>
      </c>
      <c r="IQ65" s="11">
        <f t="shared" si="111"/>
        <v>300</v>
      </c>
      <c r="IR65" s="4"/>
      <c r="IS65" s="6" t="s">
        <v>28</v>
      </c>
      <c r="IT65" s="4"/>
      <c r="IU65" s="4"/>
      <c r="IV65" s="4"/>
    </row>
    <row r="66" spans="1:256" ht="12.75">
      <c r="A66" s="272"/>
      <c r="B66" s="204"/>
      <c r="C66" s="24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8"/>
      <c r="P66" s="207"/>
      <c r="Q66" s="208"/>
      <c r="R66" s="209"/>
      <c r="S66" s="66"/>
      <c r="T66" s="44"/>
      <c r="U66" s="44"/>
      <c r="V66" s="44"/>
      <c r="W66" s="44"/>
      <c r="X66" s="44"/>
      <c r="Y66" s="44"/>
      <c r="Z66" s="48"/>
      <c r="AA66" s="6"/>
      <c r="AB66" s="4"/>
      <c r="AC66" s="4"/>
      <c r="AD66" s="4"/>
      <c r="AE66" s="4"/>
      <c r="AF66" s="7"/>
      <c r="AG66" s="5"/>
      <c r="AH66" s="13"/>
      <c r="AI66" s="13"/>
      <c r="AJ66" s="65"/>
      <c r="AK66" s="5"/>
      <c r="AL66" s="43"/>
      <c r="AM66" s="43"/>
      <c r="AN66" s="6"/>
      <c r="AO66" s="5"/>
      <c r="AP66" s="5"/>
      <c r="AQ66" s="5"/>
      <c r="AR66" s="5"/>
      <c r="AS66" s="5"/>
      <c r="AT66" s="5"/>
      <c r="AU66" s="5"/>
      <c r="AV66" s="5"/>
      <c r="AW66" s="45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3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3"/>
      <c r="EU66" s="43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6"/>
      <c r="GP66" s="59"/>
      <c r="GQ66" s="43"/>
      <c r="GR66" s="47" t="s">
        <v>670</v>
      </c>
      <c r="GS66" s="58">
        <v>0</v>
      </c>
      <c r="GT66" s="58">
        <v>0</v>
      </c>
      <c r="GU66" s="36">
        <v>1</v>
      </c>
      <c r="GV66" s="43"/>
      <c r="GW66" s="43"/>
      <c r="GX66" s="46"/>
      <c r="GY66" s="6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70"/>
      <c r="HP66" s="43"/>
      <c r="HQ66" s="43"/>
      <c r="HR66" s="47" t="s">
        <v>670</v>
      </c>
      <c r="HS66" s="58">
        <v>0</v>
      </c>
      <c r="HT66" s="58">
        <v>1</v>
      </c>
      <c r="HU66" s="36">
        <v>1</v>
      </c>
      <c r="HV66" s="43"/>
      <c r="HW66" s="43"/>
      <c r="HX66" s="43"/>
      <c r="HY66" s="45"/>
      <c r="HZ66" s="43"/>
      <c r="IA66" s="70"/>
      <c r="IB66" s="59"/>
      <c r="IC66" s="44" t="s">
        <v>90</v>
      </c>
      <c r="ID66" s="43"/>
      <c r="IE66" s="43"/>
      <c r="IF66" s="43"/>
      <c r="IG66" s="43"/>
      <c r="IH66" s="43"/>
      <c r="II66" s="43"/>
      <c r="IJ66" s="43"/>
      <c r="IK66" s="94"/>
      <c r="IL66" s="11">
        <f t="shared" si="106"/>
        <v>510</v>
      </c>
      <c r="IM66" s="13">
        <f t="shared" si="107"/>
        <v>0</v>
      </c>
      <c r="IN66" s="13">
        <f t="shared" si="108"/>
        <v>0</v>
      </c>
      <c r="IO66" s="13">
        <f t="shared" si="109"/>
        <v>0</v>
      </c>
      <c r="IP66" s="13">
        <f t="shared" si="110"/>
        <v>0</v>
      </c>
      <c r="IQ66" s="11">
        <f t="shared" si="111"/>
        <v>50</v>
      </c>
      <c r="IR66" s="4"/>
      <c r="IS66" s="6" t="s">
        <v>28</v>
      </c>
      <c r="IT66" s="4"/>
      <c r="IU66" s="4"/>
      <c r="IV66" s="4"/>
    </row>
    <row r="67" spans="1:256" ht="13.5" thickBot="1">
      <c r="A67" s="272"/>
      <c r="B67" s="204"/>
      <c r="C67" s="245"/>
      <c r="D67" s="165" t="s">
        <v>671</v>
      </c>
      <c r="E67" s="205"/>
      <c r="F67" s="205"/>
      <c r="G67" s="205"/>
      <c r="H67" s="205"/>
      <c r="I67" s="205"/>
      <c r="J67" s="205"/>
      <c r="K67" s="205"/>
      <c r="L67" s="205"/>
      <c r="M67" s="226" t="s">
        <v>388</v>
      </c>
      <c r="N67" s="226"/>
      <c r="O67" s="267">
        <f>DATE(97,12,7)</f>
        <v>35771</v>
      </c>
      <c r="P67" s="207"/>
      <c r="Q67" s="208"/>
      <c r="R67" s="209"/>
      <c r="S67" s="181" t="s">
        <v>123</v>
      </c>
      <c r="T67" s="43"/>
      <c r="U67" s="43"/>
      <c r="V67" s="43"/>
      <c r="W67" s="43"/>
      <c r="X67" s="43"/>
      <c r="Y67" s="43"/>
      <c r="Z67" s="48" t="s">
        <v>3</v>
      </c>
      <c r="AA67" s="6"/>
      <c r="AB67" s="4"/>
      <c r="AC67" s="4"/>
      <c r="AD67" s="4"/>
      <c r="AE67" s="4"/>
      <c r="AF67" s="4"/>
      <c r="AG67" s="4"/>
      <c r="AH67" s="4"/>
      <c r="AI67" s="4"/>
      <c r="AJ67" s="43"/>
      <c r="AK67" s="4"/>
      <c r="AL67" s="43"/>
      <c r="AM67" s="43"/>
      <c r="AN67" s="6"/>
      <c r="AO67" s="4"/>
      <c r="AP67" s="4"/>
      <c r="AQ67" s="4"/>
      <c r="AR67" s="4"/>
      <c r="AS67" s="4"/>
      <c r="AT67" s="4"/>
      <c r="AU67" s="5"/>
      <c r="AV67" s="4"/>
      <c r="AW67" s="45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3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3"/>
      <c r="EU67" s="43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6"/>
      <c r="GP67" s="66" t="s">
        <v>672</v>
      </c>
      <c r="GQ67" s="43"/>
      <c r="GR67" s="43"/>
      <c r="GS67" s="43"/>
      <c r="GT67" s="43"/>
      <c r="GU67" s="43"/>
      <c r="GV67" s="45" t="s">
        <v>28</v>
      </c>
      <c r="GW67" s="60" t="s">
        <v>132</v>
      </c>
      <c r="GX67" s="61" t="s">
        <v>9</v>
      </c>
      <c r="GY67" s="6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70"/>
      <c r="HP67" s="44" t="s">
        <v>672</v>
      </c>
      <c r="HQ67" s="43"/>
      <c r="HR67" s="43"/>
      <c r="HS67" s="43"/>
      <c r="HT67" s="43"/>
      <c r="HU67" s="43"/>
      <c r="HV67" s="45" t="s">
        <v>28</v>
      </c>
      <c r="HW67" s="60" t="s">
        <v>132</v>
      </c>
      <c r="HX67" s="60" t="s">
        <v>9</v>
      </c>
      <c r="HY67" s="45"/>
      <c r="HZ67" s="44" t="s">
        <v>673</v>
      </c>
      <c r="IA67" s="70"/>
      <c r="IB67" s="59"/>
      <c r="IC67" s="43"/>
      <c r="ID67" s="43"/>
      <c r="IE67" s="60" t="s">
        <v>100</v>
      </c>
      <c r="IF67" s="60" t="s">
        <v>130</v>
      </c>
      <c r="IG67" s="60" t="s">
        <v>131</v>
      </c>
      <c r="IH67" s="45" t="s">
        <v>28</v>
      </c>
      <c r="II67" s="60" t="s">
        <v>132</v>
      </c>
      <c r="IJ67" s="60" t="s">
        <v>9</v>
      </c>
      <c r="IK67" s="94"/>
      <c r="IL67" s="11">
        <f t="shared" si="106"/>
        <v>180</v>
      </c>
      <c r="IM67" s="13">
        <f t="shared" si="107"/>
        <v>0</v>
      </c>
      <c r="IN67" s="13">
        <f t="shared" si="108"/>
        <v>0</v>
      </c>
      <c r="IO67" s="13">
        <f t="shared" si="109"/>
        <v>0</v>
      </c>
      <c r="IP67" s="13">
        <f t="shared" si="110"/>
        <v>0</v>
      </c>
      <c r="IQ67" s="11">
        <f t="shared" si="111"/>
        <v>140</v>
      </c>
      <c r="IR67" s="4"/>
      <c r="IS67" s="6" t="s">
        <v>28</v>
      </c>
      <c r="IT67" s="4"/>
      <c r="IU67" s="4"/>
      <c r="IV67" s="4"/>
    </row>
    <row r="68" spans="1:256" ht="13.5" thickBot="1">
      <c r="A68" s="272"/>
      <c r="B68" s="204"/>
      <c r="C68" s="24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8"/>
      <c r="P68" s="207"/>
      <c r="Q68" s="208"/>
      <c r="R68" s="209"/>
      <c r="S68" s="59"/>
      <c r="T68" s="57" t="s">
        <v>674</v>
      </c>
      <c r="U68" s="55"/>
      <c r="V68" s="55"/>
      <c r="W68" s="55"/>
      <c r="X68" s="43"/>
      <c r="Y68" s="544" t="str">
        <f>(M69)</f>
        <v>CAI4anoL.xls</v>
      </c>
      <c r="Z68" s="46"/>
      <c r="AA68" s="6"/>
      <c r="AB68" s="4"/>
      <c r="AC68" s="4"/>
      <c r="AD68" s="4"/>
      <c r="AE68" s="5"/>
      <c r="AF68" s="4"/>
      <c r="AG68" s="4"/>
      <c r="AH68" s="13"/>
      <c r="AI68" s="13"/>
      <c r="AJ68" s="65">
        <f>Y37+Y35+Y7+Y14+Y25+IG51+Y34+Y31+II45+II46</f>
        <v>76391.352</v>
      </c>
      <c r="AK68" s="16" t="s">
        <v>675</v>
      </c>
      <c r="AL68" s="43"/>
      <c r="AM68" s="43"/>
      <c r="AN68" s="6"/>
      <c r="AO68" s="4"/>
      <c r="AP68" s="4"/>
      <c r="AQ68" s="4"/>
      <c r="AR68" s="4"/>
      <c r="AS68" s="4"/>
      <c r="AT68" s="4"/>
      <c r="AU68" s="4"/>
      <c r="AV68" s="4"/>
      <c r="AW68" s="45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3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3"/>
      <c r="EU68" s="43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6"/>
      <c r="GP68" s="59"/>
      <c r="GQ68" s="43"/>
      <c r="GR68" s="44" t="s">
        <v>676</v>
      </c>
      <c r="GS68" s="60" t="s">
        <v>677</v>
      </c>
      <c r="GT68" s="44" t="s">
        <v>678</v>
      </c>
      <c r="GU68" s="44" t="s">
        <v>678</v>
      </c>
      <c r="GV68" s="45" t="s">
        <v>28</v>
      </c>
      <c r="GW68" s="44" t="s">
        <v>140</v>
      </c>
      <c r="GX68" s="46"/>
      <c r="GY68" s="6"/>
      <c r="GZ68" s="4"/>
      <c r="HA68" s="4"/>
      <c r="HB68" s="4"/>
      <c r="HC68" s="4"/>
      <c r="HD68" s="4"/>
      <c r="HE68" s="4"/>
      <c r="HF68" s="8"/>
      <c r="HG68" s="4"/>
      <c r="HH68" s="4"/>
      <c r="HI68" s="4"/>
      <c r="HJ68" s="4"/>
      <c r="HK68" s="4"/>
      <c r="HL68" s="4"/>
      <c r="HM68" s="4"/>
      <c r="HN68" s="4"/>
      <c r="HO68" s="70"/>
      <c r="HP68" s="43"/>
      <c r="HQ68" s="43"/>
      <c r="HR68" s="60" t="s">
        <v>679</v>
      </c>
      <c r="HS68" s="44" t="s">
        <v>680</v>
      </c>
      <c r="HT68" s="44" t="s">
        <v>681</v>
      </c>
      <c r="HU68" s="44" t="s">
        <v>681</v>
      </c>
      <c r="HV68" s="45" t="s">
        <v>28</v>
      </c>
      <c r="HW68" s="44" t="s">
        <v>140</v>
      </c>
      <c r="HX68" s="43"/>
      <c r="HY68" s="45"/>
      <c r="HZ68" s="43"/>
      <c r="IA68" s="70"/>
      <c r="IB68" s="59"/>
      <c r="IC68" s="60" t="s">
        <v>138</v>
      </c>
      <c r="ID68" s="43"/>
      <c r="IE68" s="43"/>
      <c r="IF68" s="43"/>
      <c r="IG68" s="44" t="s">
        <v>139</v>
      </c>
      <c r="IH68" s="45" t="s">
        <v>28</v>
      </c>
      <c r="II68" s="44" t="s">
        <v>140</v>
      </c>
      <c r="IJ68" s="43"/>
      <c r="IK68" s="94"/>
      <c r="IL68" s="11">
        <f t="shared" si="106"/>
        <v>0</v>
      </c>
      <c r="IM68" s="13">
        <f t="shared" si="107"/>
        <v>0</v>
      </c>
      <c r="IN68" s="13">
        <f t="shared" si="108"/>
        <v>0</v>
      </c>
      <c r="IO68" s="13">
        <f t="shared" si="109"/>
        <v>796.3199999999999</v>
      </c>
      <c r="IP68" s="13">
        <f t="shared" si="110"/>
        <v>0</v>
      </c>
      <c r="IQ68" s="11">
        <f t="shared" si="111"/>
        <v>40</v>
      </c>
      <c r="IR68" s="4"/>
      <c r="IS68" s="6" t="s">
        <v>28</v>
      </c>
      <c r="IT68" s="4"/>
      <c r="IU68" s="4"/>
      <c r="IV68" s="4"/>
    </row>
    <row r="69" spans="1:256" ht="13.5" thickBot="1">
      <c r="A69" s="272"/>
      <c r="B69" s="204"/>
      <c r="C69" s="245"/>
      <c r="D69" s="165" t="s">
        <v>682</v>
      </c>
      <c r="E69" s="104" t="s">
        <v>683</v>
      </c>
      <c r="F69" s="205"/>
      <c r="G69" s="205"/>
      <c r="H69" s="205"/>
      <c r="I69" s="205"/>
      <c r="J69" s="205"/>
      <c r="K69" s="205"/>
      <c r="L69" s="205"/>
      <c r="M69" s="470" t="str">
        <f>M4</f>
        <v>CAI4anoL.xls</v>
      </c>
      <c r="N69" s="471"/>
      <c r="O69" s="208"/>
      <c r="P69" s="207"/>
      <c r="Q69" s="208"/>
      <c r="R69" s="209"/>
      <c r="S69" s="59"/>
      <c r="T69" s="43"/>
      <c r="U69" s="43"/>
      <c r="V69" s="43"/>
      <c r="W69" s="43"/>
      <c r="X69" s="44" t="s">
        <v>52</v>
      </c>
      <c r="Y69" s="60" t="s">
        <v>53</v>
      </c>
      <c r="Z69" s="61" t="s">
        <v>54</v>
      </c>
      <c r="AA69" s="6"/>
      <c r="AB69" s="4"/>
      <c r="AC69" s="4"/>
      <c r="AD69" s="4"/>
      <c r="AE69" s="4"/>
      <c r="AF69" s="4"/>
      <c r="AG69" s="4"/>
      <c r="AH69" s="13"/>
      <c r="AI69" s="20" t="s">
        <v>93</v>
      </c>
      <c r="AJ69" s="37">
        <f>SUM(AJ9:AJ42)+AJ68</f>
        <v>132582.34809728</v>
      </c>
      <c r="AK69" s="4"/>
      <c r="AL69" s="43"/>
      <c r="AM69" s="43"/>
      <c r="AN69" s="6"/>
      <c r="AO69" s="4"/>
      <c r="AP69" s="4"/>
      <c r="AQ69" s="4"/>
      <c r="AR69" s="4"/>
      <c r="AS69" s="4"/>
      <c r="AT69" s="4"/>
      <c r="AU69" s="11" t="str">
        <f>(M69)</f>
        <v>CAI4anoL.xls</v>
      </c>
      <c r="AV69" s="4"/>
      <c r="AW69" s="45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3"/>
      <c r="EU69" s="43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6"/>
      <c r="GP69" s="59"/>
      <c r="GQ69" s="43"/>
      <c r="GR69" s="44" t="s">
        <v>684</v>
      </c>
      <c r="GS69" s="44" t="s">
        <v>685</v>
      </c>
      <c r="GT69" s="60" t="s">
        <v>686</v>
      </c>
      <c r="GU69" s="60" t="s">
        <v>687</v>
      </c>
      <c r="GV69" s="45" t="s">
        <v>28</v>
      </c>
      <c r="GW69" s="43"/>
      <c r="GX69" s="46"/>
      <c r="GY69" s="6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70"/>
      <c r="HP69" s="60" t="s">
        <v>688</v>
      </c>
      <c r="HQ69" s="44" t="s">
        <v>689</v>
      </c>
      <c r="HR69" s="60" t="s">
        <v>690</v>
      </c>
      <c r="HS69" s="44" t="s">
        <v>691</v>
      </c>
      <c r="HT69" s="44" t="s">
        <v>692</v>
      </c>
      <c r="HU69" s="60" t="s">
        <v>93</v>
      </c>
      <c r="HV69" s="45" t="s">
        <v>28</v>
      </c>
      <c r="HW69" s="43"/>
      <c r="HX69" s="43"/>
      <c r="HY69" s="45"/>
      <c r="HZ69" s="43"/>
      <c r="IA69" s="70"/>
      <c r="IB69" s="59"/>
      <c r="IC69" s="43"/>
      <c r="ID69" s="43"/>
      <c r="IE69" s="43"/>
      <c r="IF69" s="43"/>
      <c r="IG69" s="43"/>
      <c r="IH69" s="45" t="s">
        <v>28</v>
      </c>
      <c r="II69" s="43"/>
      <c r="IJ69" s="43"/>
      <c r="IK69" s="94"/>
      <c r="IL69" s="11">
        <f t="shared" si="106"/>
        <v>90</v>
      </c>
      <c r="IM69" s="13">
        <f t="shared" si="107"/>
        <v>0</v>
      </c>
      <c r="IN69" s="13">
        <f t="shared" si="108"/>
        <v>0</v>
      </c>
      <c r="IO69" s="13">
        <f t="shared" si="109"/>
        <v>0</v>
      </c>
      <c r="IP69" s="13">
        <f t="shared" si="110"/>
        <v>0</v>
      </c>
      <c r="IQ69" s="11">
        <f t="shared" si="111"/>
        <v>0</v>
      </c>
      <c r="IR69" s="4"/>
      <c r="IS69" s="6" t="s">
        <v>28</v>
      </c>
      <c r="IT69" s="4"/>
      <c r="IU69" s="4"/>
      <c r="IV69" s="4"/>
    </row>
    <row r="70" spans="1:256" ht="13.5" thickBot="1">
      <c r="A70" s="272"/>
      <c r="B70" s="204"/>
      <c r="C70" s="24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14"/>
      <c r="P70" s="207"/>
      <c r="Q70" s="208"/>
      <c r="R70" s="209"/>
      <c r="S70" s="59"/>
      <c r="T70" s="72" t="s">
        <v>693</v>
      </c>
      <c r="U70" s="55"/>
      <c r="V70" s="55"/>
      <c r="W70" s="43"/>
      <c r="X70" s="62">
        <f>SUM(X74+X76+X79+X83+X107+X112+X72+X95+X96)</f>
        <v>0</v>
      </c>
      <c r="Y70" s="494">
        <f>(Y72+Y74+Y79+Y83+Y107+Y95+Y91+Y102)</f>
        <v>132582.34809728</v>
      </c>
      <c r="Z70" s="63">
        <f>IF((X70)=0,0,(Y70-X70)/X70)</f>
        <v>0</v>
      </c>
      <c r="AA70" s="6"/>
      <c r="AB70" s="4"/>
      <c r="AC70" s="4"/>
      <c r="AD70" s="4"/>
      <c r="AE70" s="4"/>
      <c r="AF70" s="4"/>
      <c r="AG70" s="4"/>
      <c r="AH70" s="4"/>
      <c r="AI70" s="4"/>
      <c r="AJ70" s="43"/>
      <c r="AK70" s="4"/>
      <c r="AL70" s="43"/>
      <c r="AM70" s="43"/>
      <c r="AN70" s="6"/>
      <c r="AO70" s="4"/>
      <c r="AP70" s="9" t="s">
        <v>694</v>
      </c>
      <c r="AQ70" s="12"/>
      <c r="AR70" s="12"/>
      <c r="AS70" s="12"/>
      <c r="AT70" s="4"/>
      <c r="AU70" s="4"/>
      <c r="AV70" s="4"/>
      <c r="AW70" s="45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3"/>
      <c r="EU70" s="43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6"/>
      <c r="GP70" s="59"/>
      <c r="GQ70" s="43"/>
      <c r="GR70" s="65"/>
      <c r="GS70" s="43"/>
      <c r="GT70" s="43"/>
      <c r="GU70" s="43"/>
      <c r="GV70" s="45" t="s">
        <v>28</v>
      </c>
      <c r="GW70" s="43"/>
      <c r="GX70" s="46"/>
      <c r="GY70" s="6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70"/>
      <c r="HP70" s="100"/>
      <c r="HQ70" s="100"/>
      <c r="HR70" s="65"/>
      <c r="HS70" s="43"/>
      <c r="HT70" s="43"/>
      <c r="HU70" s="43"/>
      <c r="HV70" s="45" t="s">
        <v>28</v>
      </c>
      <c r="HW70" s="43"/>
      <c r="HX70" s="43"/>
      <c r="HY70" s="45"/>
      <c r="HZ70" s="43"/>
      <c r="IA70" s="70"/>
      <c r="IB70" s="38" t="s">
        <v>695</v>
      </c>
      <c r="IC70" s="43"/>
      <c r="ID70" s="65"/>
      <c r="IE70" s="43"/>
      <c r="IF70" s="43"/>
      <c r="IG70" s="43"/>
      <c r="IH70" s="45" t="s">
        <v>28</v>
      </c>
      <c r="II70" s="43"/>
      <c r="IJ70" s="43"/>
      <c r="IK70" s="94"/>
      <c r="IL70" s="11">
        <f t="shared" si="106"/>
        <v>0</v>
      </c>
      <c r="IM70" s="13">
        <f t="shared" si="107"/>
        <v>0</v>
      </c>
      <c r="IN70" s="13">
        <f t="shared" si="108"/>
        <v>80</v>
      </c>
      <c r="IO70" s="13">
        <f t="shared" si="109"/>
        <v>0</v>
      </c>
      <c r="IP70" s="13">
        <f t="shared" si="110"/>
        <v>0</v>
      </c>
      <c r="IQ70" s="4"/>
      <c r="IR70" s="4"/>
      <c r="IS70" s="6" t="s">
        <v>28</v>
      </c>
      <c r="IT70" s="4"/>
      <c r="IU70" s="4"/>
      <c r="IV70" s="4"/>
    </row>
    <row r="71" spans="1:256" ht="13.5" thickBot="1">
      <c r="A71" s="272"/>
      <c r="B71" s="204"/>
      <c r="C71" s="24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8"/>
      <c r="P71" s="207"/>
      <c r="Q71" s="208"/>
      <c r="R71" s="209"/>
      <c r="S71" s="59"/>
      <c r="T71" s="43"/>
      <c r="U71" s="43"/>
      <c r="V71" s="43"/>
      <c r="W71" s="43"/>
      <c r="X71" s="36"/>
      <c r="Y71" s="43"/>
      <c r="Z71" s="64"/>
      <c r="AA71" s="6"/>
      <c r="AB71" s="4"/>
      <c r="AC71" s="4"/>
      <c r="AD71" s="4"/>
      <c r="AE71" s="4"/>
      <c r="AF71" s="4"/>
      <c r="AG71" s="4"/>
      <c r="AH71" s="4"/>
      <c r="AI71" s="4"/>
      <c r="AJ71" s="43"/>
      <c r="AK71" s="4"/>
      <c r="AL71" s="43"/>
      <c r="AM71" s="43"/>
      <c r="AN71" s="6"/>
      <c r="AO71" s="4"/>
      <c r="AP71" s="4"/>
      <c r="AQ71" s="4"/>
      <c r="AR71" s="4"/>
      <c r="AS71" s="4"/>
      <c r="AT71" s="4"/>
      <c r="AU71" s="4"/>
      <c r="AV71" s="4"/>
      <c r="AW71" s="45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3"/>
      <c r="EU71" s="43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13">
        <f aca="true" t="shared" si="112" ref="GK71:GK93">IF($HS$66&lt;=0,0,GR71*GS71)+IF($HT$66&lt;=0,0,GR71*GT71)+IF($HU$66&lt;=0,0,GR71*GU71)</f>
        <v>0</v>
      </c>
      <c r="GL71" s="4"/>
      <c r="GM71" s="4"/>
      <c r="GN71" s="4"/>
      <c r="GO71" s="6"/>
      <c r="GP71" s="112" t="s">
        <v>696</v>
      </c>
      <c r="GQ71" s="100"/>
      <c r="GR71" s="58">
        <v>1</v>
      </c>
      <c r="GS71" s="71"/>
      <c r="GT71" s="71"/>
      <c r="GU71" s="71"/>
      <c r="GV71" s="45" t="s">
        <v>28</v>
      </c>
      <c r="GW71" s="65">
        <f aca="true" t="shared" si="113" ref="GW71:GW93">(GK71)+(GK71*$HS$64/100)+(GK71*$HT$64/100)</f>
        <v>0</v>
      </c>
      <c r="GX71" s="80">
        <f aca="true" t="shared" si="114" ref="GX71:GX95">(GW71/$BD$2)*1000</f>
        <v>0</v>
      </c>
      <c r="GY71" s="6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13">
        <f aca="true" t="shared" si="115" ref="HK71:HK93">IF($HS$66&lt;=0,0,HR71*HS71)+IF($HT$66&lt;=0,0,HR71*HT71)+IF($HU$66&lt;=0,0,HR71*HU71)</f>
        <v>158</v>
      </c>
      <c r="HL71" s="4"/>
      <c r="HM71" s="4"/>
      <c r="HN71" s="4"/>
      <c r="HO71" s="70"/>
      <c r="HP71" s="101">
        <v>1</v>
      </c>
      <c r="HQ71" s="99" t="s">
        <v>697</v>
      </c>
      <c r="HR71" s="161">
        <v>1</v>
      </c>
      <c r="HS71" s="161">
        <f aca="true" t="shared" si="116" ref="HR71:HU93">(HS129)</f>
        <v>21.330000000000002</v>
      </c>
      <c r="HT71" s="161">
        <f t="shared" si="116"/>
        <v>78</v>
      </c>
      <c r="HU71" s="161">
        <f t="shared" si="116"/>
        <v>80</v>
      </c>
      <c r="HV71" s="45" t="s">
        <v>28</v>
      </c>
      <c r="HW71" s="65">
        <f aca="true" t="shared" si="117" ref="HW71:HW93">((HU71)+(HU71*$HS$64/100)+(HU71*$HT$64/100))</f>
        <v>80.03999999999999</v>
      </c>
      <c r="HX71" s="106">
        <f aca="true" t="shared" si="118" ref="HX71:HX95">(HW71/$BD$2)*1000</f>
        <v>400.19999999999993</v>
      </c>
      <c r="HY71" s="45"/>
      <c r="HZ71" s="58">
        <v>4</v>
      </c>
      <c r="IA71" s="70"/>
      <c r="IB71" s="38" t="s">
        <v>698</v>
      </c>
      <c r="IC71" s="36"/>
      <c r="ID71" s="479"/>
      <c r="IE71" s="71"/>
      <c r="IF71" s="71"/>
      <c r="IG71" s="71"/>
      <c r="IH71" s="45" t="s">
        <v>28</v>
      </c>
      <c r="II71" s="65"/>
      <c r="IJ71" s="65"/>
      <c r="IK71" s="94"/>
      <c r="IL71" s="11">
        <f t="shared" si="106"/>
        <v>116</v>
      </c>
      <c r="IM71" s="13">
        <f t="shared" si="107"/>
        <v>0</v>
      </c>
      <c r="IN71" s="13">
        <f t="shared" si="108"/>
        <v>0</v>
      </c>
      <c r="IO71" s="13">
        <f t="shared" si="109"/>
        <v>0</v>
      </c>
      <c r="IP71" s="13">
        <f t="shared" si="110"/>
        <v>0</v>
      </c>
      <c r="IQ71" s="4"/>
      <c r="IR71" s="4"/>
      <c r="IS71" s="6" t="s">
        <v>28</v>
      </c>
      <c r="IT71" s="4"/>
      <c r="IU71" s="4"/>
      <c r="IV71" s="4"/>
    </row>
    <row r="72" spans="1:256" ht="13.5" thickBot="1">
      <c r="A72" s="272"/>
      <c r="B72" s="204"/>
      <c r="C72" s="24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8"/>
      <c r="P72" s="207"/>
      <c r="Q72" s="208"/>
      <c r="R72" s="209"/>
      <c r="S72" s="182" t="s">
        <v>699</v>
      </c>
      <c r="T72" s="47" t="s">
        <v>700</v>
      </c>
      <c r="U72" s="43"/>
      <c r="V72" s="43"/>
      <c r="W72" s="43"/>
      <c r="X72" s="62">
        <v>0</v>
      </c>
      <c r="Y72" s="300">
        <f>Y35</f>
        <v>6000</v>
      </c>
      <c r="Z72" s="63">
        <f>IF((X72)=0,0,(Y72-X72)/X72)</f>
        <v>0</v>
      </c>
      <c r="AA72" s="6"/>
      <c r="AB72" s="4"/>
      <c r="AC72" s="4"/>
      <c r="AD72" s="4"/>
      <c r="AE72" s="4"/>
      <c r="AF72" s="4"/>
      <c r="AG72" s="4"/>
      <c r="AH72" s="4"/>
      <c r="AI72" s="4"/>
      <c r="AJ72" s="43"/>
      <c r="AK72" s="4"/>
      <c r="AL72" s="43"/>
      <c r="AM72" s="43"/>
      <c r="AN72" s="6"/>
      <c r="AO72" s="4"/>
      <c r="AP72" s="5" t="s">
        <v>701</v>
      </c>
      <c r="AQ72" s="4"/>
      <c r="AR72" s="4"/>
      <c r="AS72" s="4"/>
      <c r="AT72" s="4"/>
      <c r="AU72" s="4"/>
      <c r="AV72" s="4"/>
      <c r="AW72" s="45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3"/>
      <c r="EU72" s="43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13">
        <f t="shared" si="112"/>
        <v>0</v>
      </c>
      <c r="GL72" s="4"/>
      <c r="GM72" s="4"/>
      <c r="GN72" s="4"/>
      <c r="GO72" s="6"/>
      <c r="GP72" s="112" t="s">
        <v>702</v>
      </c>
      <c r="GQ72" s="100"/>
      <c r="GR72" s="58">
        <v>1</v>
      </c>
      <c r="GS72" s="71"/>
      <c r="GT72" s="71"/>
      <c r="GU72" s="71"/>
      <c r="GV72" s="45" t="s">
        <v>28</v>
      </c>
      <c r="GW72" s="65">
        <f t="shared" si="113"/>
        <v>0</v>
      </c>
      <c r="GX72" s="80">
        <f t="shared" si="114"/>
        <v>0</v>
      </c>
      <c r="GY72" s="6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13">
        <f t="shared" si="115"/>
        <v>128</v>
      </c>
      <c r="HL72" s="4"/>
      <c r="HM72" s="4"/>
      <c r="HN72" s="4"/>
      <c r="HO72" s="70"/>
      <c r="HP72" s="101">
        <v>1</v>
      </c>
      <c r="HQ72" s="99" t="s">
        <v>703</v>
      </c>
      <c r="HR72" s="161">
        <v>1</v>
      </c>
      <c r="HS72" s="161">
        <f t="shared" si="116"/>
        <v>17.28</v>
      </c>
      <c r="HT72" s="161">
        <f t="shared" si="116"/>
        <v>63</v>
      </c>
      <c r="HU72" s="161">
        <f t="shared" si="116"/>
        <v>65</v>
      </c>
      <c r="HV72" s="45" t="s">
        <v>28</v>
      </c>
      <c r="HW72" s="65">
        <f t="shared" si="117"/>
        <v>65.0325</v>
      </c>
      <c r="HX72" s="106">
        <f t="shared" si="118"/>
        <v>325.1625</v>
      </c>
      <c r="HY72" s="45"/>
      <c r="HZ72" s="58">
        <v>2.3</v>
      </c>
      <c r="IA72" s="70"/>
      <c r="IB72" s="112" t="s">
        <v>704</v>
      </c>
      <c r="IC72" s="100"/>
      <c r="ID72" s="100"/>
      <c r="IE72" s="71">
        <f>(0.7)</f>
        <v>0.7</v>
      </c>
      <c r="IF72" s="65">
        <f>IF(ID71="Não",0,(IF64*IF65*IE72*IE73*24/1000))</f>
        <v>0</v>
      </c>
      <c r="IG72" s="141">
        <f>($BD$2)/1000</f>
        <v>0.2</v>
      </c>
      <c r="IH72" s="45" t="s">
        <v>28</v>
      </c>
      <c r="II72" s="65">
        <f>(IF77*IG72)</f>
        <v>0</v>
      </c>
      <c r="IJ72" s="106">
        <f>(II72/$BF$2)*1000</f>
        <v>0</v>
      </c>
      <c r="IK72" s="94"/>
      <c r="IL72" s="11">
        <f t="shared" si="106"/>
        <v>60</v>
      </c>
      <c r="IM72" s="13">
        <f t="shared" si="107"/>
        <v>240</v>
      </c>
      <c r="IN72" s="13">
        <f t="shared" si="108"/>
        <v>10</v>
      </c>
      <c r="IO72" s="13">
        <f t="shared" si="109"/>
        <v>0</v>
      </c>
      <c r="IP72" s="13">
        <f t="shared" si="110"/>
        <v>0</v>
      </c>
      <c r="IQ72" s="4"/>
      <c r="IR72" s="4"/>
      <c r="IS72" s="6" t="s">
        <v>28</v>
      </c>
      <c r="IT72" s="4"/>
      <c r="IU72" s="4"/>
      <c r="IV72" s="4"/>
    </row>
    <row r="73" spans="1:256" ht="13.5" thickBot="1">
      <c r="A73" s="272"/>
      <c r="B73" s="204"/>
      <c r="C73" s="245"/>
      <c r="D73" s="165" t="s">
        <v>705</v>
      </c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8"/>
      <c r="P73" s="207"/>
      <c r="Q73" s="208"/>
      <c r="R73" s="209"/>
      <c r="S73" s="35"/>
      <c r="T73" s="43"/>
      <c r="U73" s="43"/>
      <c r="V73" s="43"/>
      <c r="W73" s="43"/>
      <c r="X73" s="36"/>
      <c r="Y73" s="43"/>
      <c r="Z73" s="46"/>
      <c r="AA73" s="6"/>
      <c r="AB73" s="4"/>
      <c r="AC73" s="4"/>
      <c r="AD73" s="4"/>
      <c r="AE73" s="4"/>
      <c r="AF73" s="4"/>
      <c r="AG73" s="4"/>
      <c r="AH73" s="4"/>
      <c r="AI73" s="4"/>
      <c r="AJ73" s="43"/>
      <c r="AK73" s="4"/>
      <c r="AL73" s="43"/>
      <c r="AM73" s="43"/>
      <c r="AN73" s="6"/>
      <c r="AO73" s="4"/>
      <c r="AP73" s="4"/>
      <c r="AQ73" s="4"/>
      <c r="AR73" s="4"/>
      <c r="AS73" s="4"/>
      <c r="AT73" s="4"/>
      <c r="AU73" s="4"/>
      <c r="AV73" s="4"/>
      <c r="AW73" s="45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3"/>
      <c r="EU73" s="43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13">
        <f t="shared" si="112"/>
        <v>0</v>
      </c>
      <c r="GL73" s="4"/>
      <c r="GM73" s="4"/>
      <c r="GN73" s="4"/>
      <c r="GO73" s="6"/>
      <c r="GP73" s="112" t="s">
        <v>706</v>
      </c>
      <c r="GQ73" s="100"/>
      <c r="GR73" s="58">
        <v>1</v>
      </c>
      <c r="GS73" s="71"/>
      <c r="GT73" s="71"/>
      <c r="GU73" s="71"/>
      <c r="GV73" s="45" t="s">
        <v>28</v>
      </c>
      <c r="GW73" s="65">
        <f t="shared" si="113"/>
        <v>0</v>
      </c>
      <c r="GX73" s="80">
        <f t="shared" si="114"/>
        <v>0</v>
      </c>
      <c r="GY73" s="6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13">
        <f t="shared" si="115"/>
        <v>128</v>
      </c>
      <c r="HL73" s="4"/>
      <c r="HM73" s="4"/>
      <c r="HN73" s="4"/>
      <c r="HO73" s="70"/>
      <c r="HP73" s="101">
        <v>1</v>
      </c>
      <c r="HQ73" s="172" t="s">
        <v>707</v>
      </c>
      <c r="HR73" s="161">
        <v>1</v>
      </c>
      <c r="HS73" s="161">
        <f t="shared" si="116"/>
        <v>17.28</v>
      </c>
      <c r="HT73" s="161">
        <f t="shared" si="116"/>
        <v>63</v>
      </c>
      <c r="HU73" s="161">
        <f t="shared" si="116"/>
        <v>65</v>
      </c>
      <c r="HV73" s="45" t="s">
        <v>28</v>
      </c>
      <c r="HW73" s="65">
        <f t="shared" si="117"/>
        <v>65.0325</v>
      </c>
      <c r="HX73" s="106">
        <f t="shared" si="118"/>
        <v>325.1625</v>
      </c>
      <c r="HY73" s="45"/>
      <c r="HZ73" s="58">
        <v>2.5</v>
      </c>
      <c r="IA73" s="70"/>
      <c r="IB73" s="112" t="s">
        <v>708</v>
      </c>
      <c r="IC73" s="100"/>
      <c r="ID73" s="100"/>
      <c r="IE73" s="338">
        <f>(AU25)</f>
        <v>325</v>
      </c>
      <c r="IF73" s="71"/>
      <c r="IG73" s="141"/>
      <c r="IH73" s="45" t="s">
        <v>28</v>
      </c>
      <c r="II73" s="65"/>
      <c r="IJ73" s="157"/>
      <c r="IK73" s="94"/>
      <c r="IL73" s="11">
        <f t="shared" si="106"/>
        <v>120</v>
      </c>
      <c r="IM73" s="13">
        <f t="shared" si="107"/>
        <v>0</v>
      </c>
      <c r="IN73" s="13">
        <f t="shared" si="108"/>
        <v>30</v>
      </c>
      <c r="IO73" s="13">
        <f t="shared" si="109"/>
        <v>0</v>
      </c>
      <c r="IP73" s="13">
        <f t="shared" si="110"/>
        <v>0</v>
      </c>
      <c r="IQ73" s="4"/>
      <c r="IR73" s="4"/>
      <c r="IS73" s="6" t="s">
        <v>28</v>
      </c>
      <c r="IT73" s="4"/>
      <c r="IU73" s="4"/>
      <c r="IV73" s="4"/>
    </row>
    <row r="74" spans="1:256" ht="13.5" thickBot="1">
      <c r="A74" s="210"/>
      <c r="B74" s="204"/>
      <c r="C74" s="24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8"/>
      <c r="P74" s="207"/>
      <c r="Q74" s="208"/>
      <c r="R74" s="209"/>
      <c r="S74" s="182" t="s">
        <v>709</v>
      </c>
      <c r="T74" s="72" t="s">
        <v>710</v>
      </c>
      <c r="U74" s="55"/>
      <c r="V74" s="55"/>
      <c r="W74" s="43"/>
      <c r="X74" s="62">
        <f>SUM(X75:X77)</f>
        <v>0</v>
      </c>
      <c r="Y74" s="495">
        <f>SUM(Y75:Y77)</f>
        <v>53140</v>
      </c>
      <c r="Z74" s="63">
        <f>IF((X75)=0,0,(Y74-X74)/X74)</f>
        <v>0</v>
      </c>
      <c r="AA74" s="6"/>
      <c r="AB74" s="4"/>
      <c r="AC74" s="4"/>
      <c r="AD74" s="4"/>
      <c r="AE74" s="4"/>
      <c r="AF74" s="4"/>
      <c r="AG74" s="4"/>
      <c r="AH74" s="4"/>
      <c r="AI74" s="4"/>
      <c r="AJ74" s="43"/>
      <c r="AK74" s="4"/>
      <c r="AL74" s="43"/>
      <c r="AM74" s="43"/>
      <c r="AN74" s="6"/>
      <c r="AO74" s="4"/>
      <c r="AP74" s="4"/>
      <c r="AQ74" s="4"/>
      <c r="AR74" s="4"/>
      <c r="AS74" s="4"/>
      <c r="AT74" s="4"/>
      <c r="AU74" s="4"/>
      <c r="AV74" s="4"/>
      <c r="AW74" s="45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3"/>
      <c r="EU74" s="43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13">
        <f t="shared" si="112"/>
        <v>0</v>
      </c>
      <c r="GL74" s="4"/>
      <c r="GM74" s="4"/>
      <c r="GN74" s="4"/>
      <c r="GO74" s="6"/>
      <c r="GP74" s="112" t="s">
        <v>711</v>
      </c>
      <c r="GQ74" s="100"/>
      <c r="GR74" s="58">
        <v>1</v>
      </c>
      <c r="GS74" s="71"/>
      <c r="GT74" s="71"/>
      <c r="GU74" s="71"/>
      <c r="GV74" s="45" t="s">
        <v>28</v>
      </c>
      <c r="GW74" s="65">
        <f t="shared" si="113"/>
        <v>0</v>
      </c>
      <c r="GX74" s="80">
        <f t="shared" si="114"/>
        <v>0</v>
      </c>
      <c r="GY74" s="6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13">
        <f t="shared" si="115"/>
        <v>62</v>
      </c>
      <c r="HL74" s="4"/>
      <c r="HM74" s="4"/>
      <c r="HN74" s="4"/>
      <c r="HO74" s="70"/>
      <c r="HP74" s="101">
        <v>1</v>
      </c>
      <c r="HQ74" s="172" t="s">
        <v>712</v>
      </c>
      <c r="HR74" s="161">
        <v>1</v>
      </c>
      <c r="HS74" s="161">
        <f t="shared" si="116"/>
        <v>8.370000000000001</v>
      </c>
      <c r="HT74" s="161">
        <f t="shared" si="116"/>
        <v>30</v>
      </c>
      <c r="HU74" s="161">
        <f t="shared" si="116"/>
        <v>32</v>
      </c>
      <c r="HV74" s="45" t="s">
        <v>28</v>
      </c>
      <c r="HW74" s="65">
        <f t="shared" si="117"/>
        <v>32.016000000000005</v>
      </c>
      <c r="HX74" s="106">
        <f t="shared" si="118"/>
        <v>160.08000000000004</v>
      </c>
      <c r="HY74" s="45"/>
      <c r="HZ74" s="58">
        <v>1.4</v>
      </c>
      <c r="IA74" s="70"/>
      <c r="IB74" s="112" t="s">
        <v>713</v>
      </c>
      <c r="IC74" s="100"/>
      <c r="ID74" s="100"/>
      <c r="IE74" s="338">
        <f>(AU27+AV49)</f>
        <v>40</v>
      </c>
      <c r="IF74" s="71"/>
      <c r="IG74" s="141"/>
      <c r="IH74" s="45" t="s">
        <v>28</v>
      </c>
      <c r="II74" s="65"/>
      <c r="IJ74" s="157"/>
      <c r="IK74" s="94"/>
      <c r="IL74" s="11">
        <f t="shared" si="106"/>
        <v>0</v>
      </c>
      <c r="IM74" s="13">
        <f t="shared" si="107"/>
        <v>0</v>
      </c>
      <c r="IN74" s="13">
        <f t="shared" si="108"/>
        <v>0</v>
      </c>
      <c r="IO74" s="13">
        <f t="shared" si="109"/>
        <v>0</v>
      </c>
      <c r="IP74" s="13">
        <f t="shared" si="110"/>
        <v>84</v>
      </c>
      <c r="IQ74" s="4"/>
      <c r="IR74" s="4"/>
      <c r="IS74" s="6" t="s">
        <v>28</v>
      </c>
      <c r="IT74" s="4"/>
      <c r="IU74" s="4"/>
      <c r="IV74" s="4"/>
    </row>
    <row r="75" spans="1:256" ht="12.75">
      <c r="A75" s="210"/>
      <c r="B75" s="204"/>
      <c r="C75" s="24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65" t="s">
        <v>157</v>
      </c>
      <c r="P75" s="207"/>
      <c r="Q75" s="208"/>
      <c r="R75" s="209"/>
      <c r="S75" s="35"/>
      <c r="T75" s="44" t="s">
        <v>107</v>
      </c>
      <c r="U75" s="43"/>
      <c r="V75" s="43"/>
      <c r="W75" s="43"/>
      <c r="X75" s="36">
        <v>0</v>
      </c>
      <c r="Y75" s="473">
        <v>53140</v>
      </c>
      <c r="Z75" s="63">
        <f>IF((X103)=0,0,(Y75-X75)/X75)</f>
        <v>0</v>
      </c>
      <c r="AA75" s="6"/>
      <c r="AB75" s="4"/>
      <c r="AC75" s="4"/>
      <c r="AD75" s="4"/>
      <c r="AE75" s="4"/>
      <c r="AF75" s="4"/>
      <c r="AG75" s="4"/>
      <c r="AH75" s="4"/>
      <c r="AI75" s="4"/>
      <c r="AJ75" s="43"/>
      <c r="AK75" s="4"/>
      <c r="AL75" s="43"/>
      <c r="AM75" s="43"/>
      <c r="AN75" s="6"/>
      <c r="AO75" s="4"/>
      <c r="AP75" s="4"/>
      <c r="AQ75" s="4"/>
      <c r="AR75" s="4"/>
      <c r="AS75" s="4"/>
      <c r="AT75" s="4"/>
      <c r="AU75" s="4"/>
      <c r="AV75" s="4"/>
      <c r="AW75" s="45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3"/>
      <c r="EU75" s="43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13">
        <f t="shared" si="112"/>
        <v>0</v>
      </c>
      <c r="GL75" s="4"/>
      <c r="GM75" s="4"/>
      <c r="GN75" s="4"/>
      <c r="GO75" s="6"/>
      <c r="GP75" s="112" t="s">
        <v>714</v>
      </c>
      <c r="GQ75" s="100"/>
      <c r="GR75" s="58">
        <v>1</v>
      </c>
      <c r="GS75" s="71"/>
      <c r="GT75" s="71"/>
      <c r="GU75" s="71"/>
      <c r="GV75" s="45" t="s">
        <v>28</v>
      </c>
      <c r="GW75" s="65">
        <f t="shared" si="113"/>
        <v>0</v>
      </c>
      <c r="GX75" s="80">
        <f t="shared" si="114"/>
        <v>0</v>
      </c>
      <c r="GY75" s="6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13">
        <f t="shared" si="115"/>
        <v>162</v>
      </c>
      <c r="HL75" s="4"/>
      <c r="HM75" s="4"/>
      <c r="HN75" s="4"/>
      <c r="HO75" s="70"/>
      <c r="HP75" s="101">
        <v>4</v>
      </c>
      <c r="HQ75" s="99" t="s">
        <v>715</v>
      </c>
      <c r="HR75" s="161">
        <v>1</v>
      </c>
      <c r="HS75" s="161">
        <f t="shared" si="116"/>
        <v>21.87</v>
      </c>
      <c r="HT75" s="161">
        <f t="shared" si="116"/>
        <v>80</v>
      </c>
      <c r="HU75" s="161">
        <f t="shared" si="116"/>
        <v>82</v>
      </c>
      <c r="HV75" s="45" t="s">
        <v>28</v>
      </c>
      <c r="HW75" s="65">
        <f t="shared" si="117"/>
        <v>82.041</v>
      </c>
      <c r="HX75" s="106">
        <f t="shared" si="118"/>
        <v>410.205</v>
      </c>
      <c r="HY75" s="45"/>
      <c r="HZ75" s="58">
        <v>1</v>
      </c>
      <c r="IA75" s="70"/>
      <c r="IB75" s="112" t="s">
        <v>716</v>
      </c>
      <c r="IC75" s="100"/>
      <c r="ID75" s="100"/>
      <c r="IE75" s="65"/>
      <c r="IF75" s="65">
        <v>0</v>
      </c>
      <c r="IG75" s="158" t="s">
        <v>513</v>
      </c>
      <c r="IH75" s="45" t="s">
        <v>28</v>
      </c>
      <c r="II75" s="65"/>
      <c r="IJ75" s="157"/>
      <c r="IK75" s="94"/>
      <c r="IL75" s="11">
        <f t="shared" si="106"/>
        <v>0</v>
      </c>
      <c r="IM75" s="13">
        <f t="shared" si="107"/>
        <v>0</v>
      </c>
      <c r="IN75" s="13">
        <f t="shared" si="108"/>
        <v>240</v>
      </c>
      <c r="IO75" s="13">
        <f t="shared" si="109"/>
        <v>0</v>
      </c>
      <c r="IP75" s="13">
        <f t="shared" si="110"/>
        <v>168</v>
      </c>
      <c r="IQ75" s="4"/>
      <c r="IR75" s="4"/>
      <c r="IS75" s="6" t="s">
        <v>28</v>
      </c>
      <c r="IT75" s="4"/>
      <c r="IU75" s="4"/>
      <c r="IV75" s="4"/>
    </row>
    <row r="76" spans="1:256" ht="12.75">
      <c r="A76" s="210"/>
      <c r="B76" s="204"/>
      <c r="C76" s="24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8"/>
      <c r="P76" s="207"/>
      <c r="Q76" s="208"/>
      <c r="R76" s="209"/>
      <c r="S76" s="35"/>
      <c r="T76" s="44" t="s">
        <v>717</v>
      </c>
      <c r="U76" s="43"/>
      <c r="V76" s="43"/>
      <c r="W76" s="43"/>
      <c r="X76" s="36">
        <v>0</v>
      </c>
      <c r="Y76" s="472">
        <f>Y14</f>
        <v>0</v>
      </c>
      <c r="Z76" s="63">
        <f>IF((X76)=0,0,(Y76-X76)/X76)</f>
        <v>0</v>
      </c>
      <c r="AA76" s="6"/>
      <c r="AB76" s="4"/>
      <c r="AC76" s="4"/>
      <c r="AD76" s="4"/>
      <c r="AE76" s="4"/>
      <c r="AF76" s="4"/>
      <c r="AG76" s="4"/>
      <c r="AH76" s="4"/>
      <c r="AI76" s="4"/>
      <c r="AJ76" s="43"/>
      <c r="AK76" s="4"/>
      <c r="AL76" s="43"/>
      <c r="AM76" s="43"/>
      <c r="AN76" s="6"/>
      <c r="AO76" s="4"/>
      <c r="AP76" s="12"/>
      <c r="AQ76" s="12"/>
      <c r="AR76" s="4"/>
      <c r="AS76" s="4"/>
      <c r="AT76" s="4"/>
      <c r="AU76" s="4"/>
      <c r="AV76" s="4"/>
      <c r="AW76" s="45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3"/>
      <c r="EU76" s="43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13">
        <f t="shared" si="112"/>
        <v>0</v>
      </c>
      <c r="GL76" s="4"/>
      <c r="GM76" s="4"/>
      <c r="GN76" s="4"/>
      <c r="GO76" s="6"/>
      <c r="GP76" s="112" t="s">
        <v>718</v>
      </c>
      <c r="GQ76" s="100"/>
      <c r="GR76" s="58">
        <v>0</v>
      </c>
      <c r="GS76" s="71"/>
      <c r="GT76" s="71"/>
      <c r="GU76" s="71"/>
      <c r="GV76" s="45" t="s">
        <v>28</v>
      </c>
      <c r="GW76" s="65">
        <f t="shared" si="113"/>
        <v>0</v>
      </c>
      <c r="GX76" s="80">
        <f t="shared" si="114"/>
        <v>0</v>
      </c>
      <c r="GY76" s="6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13">
        <f t="shared" si="115"/>
        <v>0</v>
      </c>
      <c r="HL76" s="4"/>
      <c r="HM76" s="4"/>
      <c r="HN76" s="4"/>
      <c r="HO76" s="70"/>
      <c r="HP76" s="100"/>
      <c r="HQ76" s="100"/>
      <c r="HR76" s="161">
        <f t="shared" si="116"/>
        <v>0</v>
      </c>
      <c r="HS76" s="161">
        <f t="shared" si="116"/>
        <v>0</v>
      </c>
      <c r="HT76" s="161">
        <f t="shared" si="116"/>
        <v>0</v>
      </c>
      <c r="HU76" s="161">
        <f t="shared" si="116"/>
        <v>0</v>
      </c>
      <c r="HV76" s="45" t="s">
        <v>28</v>
      </c>
      <c r="HW76" s="65">
        <f t="shared" si="117"/>
        <v>0</v>
      </c>
      <c r="HX76" s="106">
        <f t="shared" si="118"/>
        <v>0</v>
      </c>
      <c r="HY76" s="45"/>
      <c r="HZ76" s="43"/>
      <c r="IA76" s="70"/>
      <c r="IB76" s="112" t="s">
        <v>719</v>
      </c>
      <c r="IC76" s="100"/>
      <c r="ID76" s="100"/>
      <c r="IE76" s="43"/>
      <c r="IF76" s="65">
        <v>0</v>
      </c>
      <c r="IG76" s="158" t="s">
        <v>513</v>
      </c>
      <c r="IH76" s="45" t="s">
        <v>28</v>
      </c>
      <c r="II76" s="65"/>
      <c r="IJ76" s="157"/>
      <c r="IK76" s="94"/>
      <c r="IL76" s="11">
        <f t="shared" si="106"/>
        <v>0</v>
      </c>
      <c r="IM76" s="13">
        <f t="shared" si="107"/>
        <v>0</v>
      </c>
      <c r="IN76" s="13">
        <f t="shared" si="108"/>
        <v>0</v>
      </c>
      <c r="IO76" s="13">
        <f t="shared" si="109"/>
        <v>0</v>
      </c>
      <c r="IP76" s="13">
        <f t="shared" si="110"/>
        <v>0</v>
      </c>
      <c r="IQ76" s="4"/>
      <c r="IR76" s="4"/>
      <c r="IS76" s="6" t="s">
        <v>28</v>
      </c>
      <c r="IT76" s="4"/>
      <c r="IU76" s="4"/>
      <c r="IV76" s="4"/>
    </row>
    <row r="77" spans="1:256" ht="12.75">
      <c r="A77" s="210"/>
      <c r="B77" s="204"/>
      <c r="C77" s="245"/>
      <c r="D77" s="165" t="s">
        <v>720</v>
      </c>
      <c r="E77" s="165" t="s">
        <v>721</v>
      </c>
      <c r="F77" s="104"/>
      <c r="G77" s="104"/>
      <c r="H77" s="104"/>
      <c r="I77" s="104"/>
      <c r="J77" s="104"/>
      <c r="K77" s="104"/>
      <c r="L77" s="104"/>
      <c r="M77" s="228"/>
      <c r="N77" s="228"/>
      <c r="O77" s="229">
        <f>Y35</f>
        <v>6000</v>
      </c>
      <c r="P77" s="207"/>
      <c r="Q77" s="208"/>
      <c r="R77" s="209"/>
      <c r="S77" s="35"/>
      <c r="T77" s="44" t="s">
        <v>722</v>
      </c>
      <c r="U77" s="43"/>
      <c r="V77" s="43"/>
      <c r="W77" s="43"/>
      <c r="X77" s="36">
        <v>0</v>
      </c>
      <c r="Y77" s="473">
        <f>Y12</f>
        <v>0</v>
      </c>
      <c r="Z77" s="63">
        <f>IF((X77)=0,0,(Y77-X77)/X77)</f>
        <v>0</v>
      </c>
      <c r="AA77" s="6"/>
      <c r="AB77" s="4"/>
      <c r="AC77" s="4"/>
      <c r="AD77" s="4"/>
      <c r="AE77" s="4"/>
      <c r="AF77" s="4"/>
      <c r="AG77" s="4"/>
      <c r="AH77" s="4"/>
      <c r="AI77" s="4"/>
      <c r="AJ77" s="43"/>
      <c r="AK77" s="4"/>
      <c r="AL77" s="43"/>
      <c r="AM77" s="43"/>
      <c r="AN77" s="6"/>
      <c r="AO77" s="4"/>
      <c r="AP77" s="4"/>
      <c r="AQ77" s="4"/>
      <c r="AR77" s="4"/>
      <c r="AS77" s="4"/>
      <c r="AT77" s="4"/>
      <c r="AU77" s="4"/>
      <c r="AV77" s="4"/>
      <c r="AW77" s="45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3"/>
      <c r="EU77" s="43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3">
        <f t="shared" si="112"/>
        <v>0</v>
      </c>
      <c r="GL77" s="4"/>
      <c r="GM77" s="4"/>
      <c r="GN77" s="4"/>
      <c r="GO77" s="6"/>
      <c r="GP77" s="112" t="s">
        <v>723</v>
      </c>
      <c r="GQ77" s="100"/>
      <c r="GR77" s="58">
        <v>1</v>
      </c>
      <c r="GS77" s="71"/>
      <c r="GT77" s="71"/>
      <c r="GU77" s="71"/>
      <c r="GV77" s="45" t="s">
        <v>28</v>
      </c>
      <c r="GW77" s="65">
        <f t="shared" si="113"/>
        <v>0</v>
      </c>
      <c r="GX77" s="80">
        <f t="shared" si="114"/>
        <v>0</v>
      </c>
      <c r="GY77" s="6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13">
        <f t="shared" si="115"/>
        <v>0</v>
      </c>
      <c r="HL77" s="4"/>
      <c r="HM77" s="4"/>
      <c r="HN77" s="4"/>
      <c r="HO77" s="70"/>
      <c r="HP77" s="43"/>
      <c r="HQ77" s="43"/>
      <c r="HR77" s="161">
        <f t="shared" si="116"/>
        <v>0</v>
      </c>
      <c r="HS77" s="161">
        <f t="shared" si="116"/>
        <v>0</v>
      </c>
      <c r="HT77" s="161">
        <f t="shared" si="116"/>
        <v>0</v>
      </c>
      <c r="HU77" s="161">
        <f t="shared" si="116"/>
        <v>0</v>
      </c>
      <c r="HV77" s="45" t="s">
        <v>28</v>
      </c>
      <c r="HW77" s="65">
        <f t="shared" si="117"/>
        <v>0</v>
      </c>
      <c r="HX77" s="106">
        <f t="shared" si="118"/>
        <v>0</v>
      </c>
      <c r="HY77" s="45"/>
      <c r="HZ77" s="43"/>
      <c r="IA77" s="70"/>
      <c r="IB77" s="112" t="s">
        <v>724</v>
      </c>
      <c r="IC77" s="100"/>
      <c r="ID77" s="100"/>
      <c r="IE77" s="65"/>
      <c r="IF77" s="338">
        <f>(IF75*IE73)</f>
        <v>0</v>
      </c>
      <c r="IG77" s="158" t="s">
        <v>513</v>
      </c>
      <c r="IH77" s="45" t="s">
        <v>28</v>
      </c>
      <c r="II77" s="65"/>
      <c r="IJ77" s="157"/>
      <c r="IK77" s="94"/>
      <c r="IL77" s="11">
        <f t="shared" si="106"/>
        <v>0</v>
      </c>
      <c r="IM77" s="13">
        <f t="shared" si="107"/>
        <v>0</v>
      </c>
      <c r="IN77" s="13">
        <f t="shared" si="108"/>
        <v>90</v>
      </c>
      <c r="IO77" s="13">
        <f t="shared" si="109"/>
        <v>0</v>
      </c>
      <c r="IP77" s="13">
        <f t="shared" si="110"/>
        <v>0</v>
      </c>
      <c r="IQ77" s="4"/>
      <c r="IR77" s="4"/>
      <c r="IS77" s="6" t="s">
        <v>28</v>
      </c>
      <c r="IT77" s="4"/>
      <c r="IU77" s="4"/>
      <c r="IV77" s="4"/>
    </row>
    <row r="78" spans="1:256" ht="13.5" thickBot="1">
      <c r="A78" s="210"/>
      <c r="B78" s="204"/>
      <c r="C78" s="245"/>
      <c r="D78" s="104"/>
      <c r="E78" s="104"/>
      <c r="F78" s="104"/>
      <c r="G78" s="104"/>
      <c r="H78" s="104"/>
      <c r="I78" s="104"/>
      <c r="J78" s="104"/>
      <c r="K78" s="104"/>
      <c r="L78" s="104"/>
      <c r="M78" s="228"/>
      <c r="N78" s="228"/>
      <c r="O78" s="229"/>
      <c r="P78" s="207"/>
      <c r="Q78" s="208"/>
      <c r="R78" s="209"/>
      <c r="S78" s="35"/>
      <c r="T78" s="43"/>
      <c r="U78" s="43"/>
      <c r="V78" s="43"/>
      <c r="W78" s="43"/>
      <c r="X78" s="36"/>
      <c r="Y78" s="43"/>
      <c r="Z78" s="46"/>
      <c r="AA78" s="6"/>
      <c r="AB78" s="4"/>
      <c r="AC78" s="4"/>
      <c r="AD78" s="4"/>
      <c r="AE78" s="4"/>
      <c r="AF78" s="4"/>
      <c r="AG78" s="4"/>
      <c r="AH78" s="4"/>
      <c r="AI78" s="4"/>
      <c r="AJ78" s="43"/>
      <c r="AK78" s="4"/>
      <c r="AL78" s="43"/>
      <c r="AM78" s="43"/>
      <c r="AN78" s="6"/>
      <c r="AO78" s="4"/>
      <c r="AP78" s="4"/>
      <c r="AQ78" s="4"/>
      <c r="AR78" s="4"/>
      <c r="AS78" s="4"/>
      <c r="AT78" s="4"/>
      <c r="AU78" s="4"/>
      <c r="AV78" s="4"/>
      <c r="AW78" s="45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3"/>
      <c r="EU78" s="43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3">
        <f t="shared" si="112"/>
        <v>0</v>
      </c>
      <c r="GL78" s="4"/>
      <c r="GM78" s="4"/>
      <c r="GN78" s="4"/>
      <c r="GO78" s="6"/>
      <c r="GP78" s="112" t="s">
        <v>725</v>
      </c>
      <c r="GQ78" s="100"/>
      <c r="GR78" s="58">
        <v>1</v>
      </c>
      <c r="GS78" s="71"/>
      <c r="GT78" s="71"/>
      <c r="GU78" s="71"/>
      <c r="GV78" s="45" t="s">
        <v>28</v>
      </c>
      <c r="GW78" s="65">
        <f t="shared" si="113"/>
        <v>0</v>
      </c>
      <c r="GX78" s="80">
        <f t="shared" si="114"/>
        <v>0</v>
      </c>
      <c r="GY78" s="6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13">
        <f t="shared" si="115"/>
        <v>0</v>
      </c>
      <c r="HL78" s="4"/>
      <c r="HM78" s="4"/>
      <c r="HN78" s="4"/>
      <c r="HO78" s="70"/>
      <c r="HP78" s="43"/>
      <c r="HQ78" s="43"/>
      <c r="HR78" s="161">
        <f t="shared" si="116"/>
        <v>0</v>
      </c>
      <c r="HS78" s="161">
        <f t="shared" si="116"/>
        <v>0</v>
      </c>
      <c r="HT78" s="161">
        <f t="shared" si="116"/>
        <v>0</v>
      </c>
      <c r="HU78" s="161">
        <f t="shared" si="116"/>
        <v>0</v>
      </c>
      <c r="HV78" s="45" t="s">
        <v>28</v>
      </c>
      <c r="HW78" s="65">
        <f t="shared" si="117"/>
        <v>0</v>
      </c>
      <c r="HX78" s="106">
        <f t="shared" si="118"/>
        <v>0</v>
      </c>
      <c r="HY78" s="45"/>
      <c r="HZ78" s="43"/>
      <c r="IA78" s="70"/>
      <c r="IB78" s="59"/>
      <c r="IC78" s="43"/>
      <c r="ID78" s="43"/>
      <c r="IE78" s="65"/>
      <c r="IF78" s="65"/>
      <c r="IG78" s="141"/>
      <c r="IH78" s="45" t="s">
        <v>28</v>
      </c>
      <c r="II78" s="65"/>
      <c r="IJ78" s="157"/>
      <c r="IK78" s="94"/>
      <c r="IL78" s="11">
        <f t="shared" si="106"/>
        <v>0</v>
      </c>
      <c r="IM78" s="13">
        <f t="shared" si="107"/>
        <v>0</v>
      </c>
      <c r="IN78" s="13">
        <f t="shared" si="108"/>
        <v>0</v>
      </c>
      <c r="IO78" s="13">
        <f t="shared" si="109"/>
        <v>0</v>
      </c>
      <c r="IP78" s="13">
        <f t="shared" si="110"/>
        <v>0</v>
      </c>
      <c r="IQ78" s="4"/>
      <c r="IR78" s="4"/>
      <c r="IS78" s="6" t="s">
        <v>28</v>
      </c>
      <c r="IT78" s="4"/>
      <c r="IU78" s="4"/>
      <c r="IV78" s="4"/>
    </row>
    <row r="79" spans="1:256" ht="13.5" thickBot="1">
      <c r="A79" s="210"/>
      <c r="B79" s="204"/>
      <c r="C79" s="245"/>
      <c r="D79" s="165" t="s">
        <v>726</v>
      </c>
      <c r="E79" s="165" t="s">
        <v>727</v>
      </c>
      <c r="F79" s="104"/>
      <c r="G79" s="104"/>
      <c r="H79" s="104"/>
      <c r="I79" s="104"/>
      <c r="J79" s="104"/>
      <c r="K79" s="104"/>
      <c r="L79" s="104"/>
      <c r="M79" s="228"/>
      <c r="N79" s="228"/>
      <c r="O79" s="229">
        <f>(Y8+Y12+Y14)</f>
        <v>53140</v>
      </c>
      <c r="P79" s="207"/>
      <c r="Q79" s="208"/>
      <c r="R79" s="209"/>
      <c r="S79" s="493"/>
      <c r="T79" s="274" t="s">
        <v>728</v>
      </c>
      <c r="U79" s="277"/>
      <c r="V79" s="277"/>
      <c r="W79" s="43"/>
      <c r="X79" s="62">
        <f>SUM(X80:X81)</f>
        <v>0</v>
      </c>
      <c r="Y79" s="300">
        <f>SUM(Y80:Y81)</f>
        <v>4638</v>
      </c>
      <c r="Z79" s="63">
        <f>IF((X79)=0,0,(Y79-X79)/X79)</f>
        <v>0</v>
      </c>
      <c r="AA79" s="6"/>
      <c r="AB79" s="4"/>
      <c r="AC79" s="4"/>
      <c r="AD79" s="4"/>
      <c r="AE79" s="4"/>
      <c r="AF79" s="4"/>
      <c r="AG79" s="4"/>
      <c r="AH79" s="4"/>
      <c r="AI79" s="4"/>
      <c r="AJ79" s="43"/>
      <c r="AK79" s="4"/>
      <c r="AL79" s="43"/>
      <c r="AM79" s="43"/>
      <c r="AN79" s="6"/>
      <c r="AO79" s="4"/>
      <c r="AP79" s="4"/>
      <c r="AQ79" s="4"/>
      <c r="AR79" s="4"/>
      <c r="AS79" s="4"/>
      <c r="AT79" s="4"/>
      <c r="AU79" s="4"/>
      <c r="AV79" s="4"/>
      <c r="AW79" s="45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3"/>
      <c r="EU79" s="43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13">
        <f t="shared" si="112"/>
        <v>0</v>
      </c>
      <c r="GL79" s="4"/>
      <c r="GM79" s="4"/>
      <c r="GN79" s="4"/>
      <c r="GO79" s="6"/>
      <c r="GP79" s="112" t="s">
        <v>729</v>
      </c>
      <c r="GQ79" s="100"/>
      <c r="GR79" s="58">
        <v>1</v>
      </c>
      <c r="GS79" s="71"/>
      <c r="GT79" s="71"/>
      <c r="GU79" s="71"/>
      <c r="GV79" s="45" t="s">
        <v>28</v>
      </c>
      <c r="GW79" s="65">
        <f t="shared" si="113"/>
        <v>0</v>
      </c>
      <c r="GX79" s="80">
        <f t="shared" si="114"/>
        <v>0</v>
      </c>
      <c r="GY79" s="6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13">
        <f t="shared" si="115"/>
        <v>0</v>
      </c>
      <c r="HL79" s="4"/>
      <c r="HM79" s="4"/>
      <c r="HN79" s="4"/>
      <c r="HO79" s="70"/>
      <c r="HP79" s="43"/>
      <c r="HQ79" s="43"/>
      <c r="HR79" s="161">
        <f t="shared" si="116"/>
        <v>0</v>
      </c>
      <c r="HS79" s="161">
        <f t="shared" si="116"/>
        <v>0</v>
      </c>
      <c r="HT79" s="161">
        <f t="shared" si="116"/>
        <v>0</v>
      </c>
      <c r="HU79" s="161">
        <f t="shared" si="116"/>
        <v>0</v>
      </c>
      <c r="HV79" s="45" t="s">
        <v>28</v>
      </c>
      <c r="HW79" s="65">
        <f t="shared" si="117"/>
        <v>0</v>
      </c>
      <c r="HX79" s="106">
        <f t="shared" si="118"/>
        <v>0</v>
      </c>
      <c r="HY79" s="45"/>
      <c r="HZ79" s="43"/>
      <c r="IA79" s="70"/>
      <c r="IB79" s="38" t="s">
        <v>730</v>
      </c>
      <c r="IC79" s="43"/>
      <c r="ID79" s="43"/>
      <c r="IE79" s="65"/>
      <c r="IF79" s="65"/>
      <c r="IG79" s="141"/>
      <c r="IH79" s="45" t="s">
        <v>28</v>
      </c>
      <c r="II79" s="65"/>
      <c r="IJ79" s="157"/>
      <c r="IK79" s="94"/>
      <c r="IL79" s="11">
        <f t="shared" si="106"/>
        <v>0</v>
      </c>
      <c r="IM79" s="13">
        <f t="shared" si="107"/>
        <v>450</v>
      </c>
      <c r="IN79" s="13">
        <f t="shared" si="108"/>
        <v>0</v>
      </c>
      <c r="IO79" s="13">
        <f t="shared" si="109"/>
        <v>0</v>
      </c>
      <c r="IP79" s="13">
        <f t="shared" si="110"/>
        <v>0</v>
      </c>
      <c r="IQ79" s="4"/>
      <c r="IR79" s="4"/>
      <c r="IS79" s="6" t="s">
        <v>28</v>
      </c>
      <c r="IT79" s="4"/>
      <c r="IU79" s="4"/>
      <c r="IV79" s="4"/>
    </row>
    <row r="80" spans="1:256" ht="12.75">
      <c r="A80" s="210"/>
      <c r="B80" s="204"/>
      <c r="C80" s="245"/>
      <c r="D80" s="104"/>
      <c r="E80" s="104"/>
      <c r="F80" s="104"/>
      <c r="G80" s="104"/>
      <c r="H80" s="104"/>
      <c r="I80" s="104"/>
      <c r="J80" s="104"/>
      <c r="K80" s="104"/>
      <c r="L80" s="104"/>
      <c r="M80" s="228"/>
      <c r="N80" s="228"/>
      <c r="O80" s="229"/>
      <c r="P80" s="207"/>
      <c r="Q80" s="208"/>
      <c r="R80" s="209"/>
      <c r="S80" s="182" t="s">
        <v>731</v>
      </c>
      <c r="T80" s="302" t="s">
        <v>732</v>
      </c>
      <c r="U80" s="303"/>
      <c r="V80" s="303"/>
      <c r="W80" s="303"/>
      <c r="X80" s="62">
        <v>0</v>
      </c>
      <c r="Y80" s="473">
        <f>Y18</f>
        <v>2038</v>
      </c>
      <c r="Z80" s="63">
        <f>IF((X80)=0,0,(Y80-X80)/X80)</f>
        <v>0</v>
      </c>
      <c r="AA80" s="6"/>
      <c r="AB80" s="4"/>
      <c r="AC80" s="4"/>
      <c r="AD80" s="4"/>
      <c r="AE80" s="4"/>
      <c r="AF80" s="4"/>
      <c r="AG80" s="4"/>
      <c r="AH80" s="4"/>
      <c r="AI80" s="4"/>
      <c r="AJ80" s="43"/>
      <c r="AK80" s="4"/>
      <c r="AL80" s="43"/>
      <c r="AM80" s="43"/>
      <c r="AN80" s="6"/>
      <c r="AO80" s="4"/>
      <c r="AP80" s="4"/>
      <c r="AQ80" s="4"/>
      <c r="AR80" s="4"/>
      <c r="AS80" s="4"/>
      <c r="AT80" s="4"/>
      <c r="AU80" s="4"/>
      <c r="AV80" s="4"/>
      <c r="AW80" s="45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3"/>
      <c r="EU80" s="43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13">
        <f t="shared" si="112"/>
        <v>0</v>
      </c>
      <c r="GL80" s="4"/>
      <c r="GM80" s="4"/>
      <c r="GN80" s="4"/>
      <c r="GO80" s="6"/>
      <c r="GP80" s="112" t="s">
        <v>733</v>
      </c>
      <c r="GQ80" s="100"/>
      <c r="GR80" s="58">
        <v>1</v>
      </c>
      <c r="GS80" s="71"/>
      <c r="GT80" s="71"/>
      <c r="GU80" s="71"/>
      <c r="GV80" s="45" t="s">
        <v>28</v>
      </c>
      <c r="GW80" s="65">
        <f t="shared" si="113"/>
        <v>0</v>
      </c>
      <c r="GX80" s="80">
        <f t="shared" si="114"/>
        <v>0</v>
      </c>
      <c r="GY80" s="6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13">
        <f t="shared" si="115"/>
        <v>0</v>
      </c>
      <c r="HL80" s="4"/>
      <c r="HM80" s="4"/>
      <c r="HN80" s="4"/>
      <c r="HO80" s="70"/>
      <c r="HP80" s="43"/>
      <c r="HQ80" s="43"/>
      <c r="HR80" s="161">
        <f t="shared" si="116"/>
        <v>0</v>
      </c>
      <c r="HS80" s="161">
        <f t="shared" si="116"/>
        <v>0</v>
      </c>
      <c r="HT80" s="161">
        <f t="shared" si="116"/>
        <v>0</v>
      </c>
      <c r="HU80" s="161">
        <f t="shared" si="116"/>
        <v>0</v>
      </c>
      <c r="HV80" s="45" t="s">
        <v>28</v>
      </c>
      <c r="HW80" s="65">
        <f t="shared" si="117"/>
        <v>0</v>
      </c>
      <c r="HX80" s="106">
        <f t="shared" si="118"/>
        <v>0</v>
      </c>
      <c r="HY80" s="45"/>
      <c r="HZ80" s="43"/>
      <c r="IA80" s="70"/>
      <c r="IB80" s="112" t="s">
        <v>734</v>
      </c>
      <c r="IC80" s="100"/>
      <c r="ID80" s="100"/>
      <c r="IE80" s="65">
        <v>1500</v>
      </c>
      <c r="IF80" s="65">
        <v>1</v>
      </c>
      <c r="IG80" s="141">
        <f>($BD$2)/1000</f>
        <v>0.2</v>
      </c>
      <c r="IH80" s="45" t="s">
        <v>28</v>
      </c>
      <c r="II80" s="65">
        <f>(IE80*IF80*IG80)</f>
        <v>300</v>
      </c>
      <c r="IJ80" s="106">
        <f>(II80/$BF$2)*1000</f>
        <v>1500</v>
      </c>
      <c r="IK80" s="94"/>
      <c r="IL80" s="11">
        <f t="shared" si="106"/>
        <v>0</v>
      </c>
      <c r="IM80" s="13">
        <f t="shared" si="107"/>
        <v>300</v>
      </c>
      <c r="IN80" s="13">
        <f t="shared" si="108"/>
        <v>0</v>
      </c>
      <c r="IO80" s="13">
        <f t="shared" si="109"/>
        <v>0</v>
      </c>
      <c r="IP80" s="13">
        <f>IF((HA33)=1,0,(HJ34))</f>
        <v>0</v>
      </c>
      <c r="IQ80" s="4"/>
      <c r="IR80" s="4"/>
      <c r="IS80" s="6" t="s">
        <v>28</v>
      </c>
      <c r="IT80" s="4"/>
      <c r="IU80" s="4"/>
      <c r="IV80" s="4"/>
    </row>
    <row r="81" spans="1:256" ht="14.25" customHeight="1">
      <c r="A81" s="210"/>
      <c r="B81" s="204"/>
      <c r="C81" s="245"/>
      <c r="D81" s="165" t="s">
        <v>735</v>
      </c>
      <c r="E81" s="165" t="s">
        <v>736</v>
      </c>
      <c r="F81" s="104"/>
      <c r="G81" s="104"/>
      <c r="H81" s="104"/>
      <c r="I81" s="104"/>
      <c r="J81" s="104"/>
      <c r="K81" s="104"/>
      <c r="L81" s="104"/>
      <c r="M81" s="228"/>
      <c r="N81" s="228"/>
      <c r="O81" s="229">
        <f>Y18</f>
        <v>2038</v>
      </c>
      <c r="P81" s="207"/>
      <c r="Q81" s="208"/>
      <c r="R81" s="209"/>
      <c r="S81" s="182" t="s">
        <v>737</v>
      </c>
      <c r="T81" s="302" t="s">
        <v>738</v>
      </c>
      <c r="U81" s="303"/>
      <c r="V81" s="303"/>
      <c r="W81" s="303"/>
      <c r="X81" s="62">
        <v>0</v>
      </c>
      <c r="Y81" s="473">
        <f>Y17</f>
        <v>2600</v>
      </c>
      <c r="Z81" s="63">
        <f>IF((X81)=0,0,(Y81-X81)/X81)</f>
        <v>0</v>
      </c>
      <c r="AA81" s="6"/>
      <c r="AB81" s="4"/>
      <c r="AC81" s="4"/>
      <c r="AD81" s="4"/>
      <c r="AE81" s="4"/>
      <c r="AF81" s="4"/>
      <c r="AG81" s="4"/>
      <c r="AH81" s="4"/>
      <c r="AI81" s="4"/>
      <c r="AJ81" s="43"/>
      <c r="AK81" s="4"/>
      <c r="AL81" s="43"/>
      <c r="AM81" s="43"/>
      <c r="AN81" s="6"/>
      <c r="AO81" s="4"/>
      <c r="AP81" s="4"/>
      <c r="AQ81" s="4"/>
      <c r="AR81" s="4"/>
      <c r="AS81" s="4"/>
      <c r="AT81" s="4"/>
      <c r="AU81" s="4"/>
      <c r="AV81" s="4"/>
      <c r="AW81" s="45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3"/>
      <c r="EU81" s="43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13">
        <f t="shared" si="112"/>
        <v>0</v>
      </c>
      <c r="GL81" s="4"/>
      <c r="GM81" s="4"/>
      <c r="GN81" s="4"/>
      <c r="GO81" s="6"/>
      <c r="GP81" s="112" t="s">
        <v>739</v>
      </c>
      <c r="GQ81" s="100"/>
      <c r="GR81" s="58">
        <v>0</v>
      </c>
      <c r="GS81" s="71"/>
      <c r="GT81" s="71"/>
      <c r="GU81" s="71"/>
      <c r="GV81" s="45" t="s">
        <v>28</v>
      </c>
      <c r="GW81" s="65">
        <f t="shared" si="113"/>
        <v>0</v>
      </c>
      <c r="GX81" s="80">
        <f t="shared" si="114"/>
        <v>0</v>
      </c>
      <c r="GY81" s="6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13">
        <f t="shared" si="115"/>
        <v>0</v>
      </c>
      <c r="HL81" s="4"/>
      <c r="HM81" s="4"/>
      <c r="HN81" s="4"/>
      <c r="HO81" s="70"/>
      <c r="HP81" s="43"/>
      <c r="HQ81" s="43"/>
      <c r="HR81" s="161">
        <f t="shared" si="116"/>
        <v>0</v>
      </c>
      <c r="HS81" s="161">
        <f t="shared" si="116"/>
        <v>0</v>
      </c>
      <c r="HT81" s="161">
        <f t="shared" si="116"/>
        <v>0</v>
      </c>
      <c r="HU81" s="161">
        <f t="shared" si="116"/>
        <v>0</v>
      </c>
      <c r="HV81" s="45" t="s">
        <v>28</v>
      </c>
      <c r="HW81" s="65">
        <f t="shared" si="117"/>
        <v>0</v>
      </c>
      <c r="HX81" s="106">
        <f t="shared" si="118"/>
        <v>0</v>
      </c>
      <c r="HY81" s="45"/>
      <c r="HZ81" s="43"/>
      <c r="IA81" s="70"/>
      <c r="IB81" s="112" t="s">
        <v>740</v>
      </c>
      <c r="IC81" s="100"/>
      <c r="ID81" s="100"/>
      <c r="IE81" s="65">
        <v>20</v>
      </c>
      <c r="IF81" s="338">
        <f>(IE73)</f>
        <v>325</v>
      </c>
      <c r="IG81" s="141">
        <f>($BD$2)/1000</f>
        <v>0.2</v>
      </c>
      <c r="IH81" s="45" t="s">
        <v>28</v>
      </c>
      <c r="II81" s="65">
        <f>(IE81*IF81*IG81)</f>
        <v>1300</v>
      </c>
      <c r="IJ81" s="106">
        <f>(II81/$BF$2)*1000</f>
        <v>6500</v>
      </c>
      <c r="IK81" s="94"/>
      <c r="IL81" s="11">
        <f t="shared" si="106"/>
        <v>260</v>
      </c>
      <c r="IM81" s="13">
        <f t="shared" si="107"/>
        <v>0</v>
      </c>
      <c r="IN81" s="13">
        <f t="shared" si="108"/>
        <v>0</v>
      </c>
      <c r="IO81" s="13">
        <f t="shared" si="109"/>
        <v>0</v>
      </c>
      <c r="IP81" s="13">
        <f>IF((HA34)=1,0,(HJ35))</f>
        <v>0</v>
      </c>
      <c r="IQ81" s="4"/>
      <c r="IR81" s="4"/>
      <c r="IS81" s="6" t="s">
        <v>28</v>
      </c>
      <c r="IT81" s="4"/>
      <c r="IU81" s="4"/>
      <c r="IV81" s="4"/>
    </row>
    <row r="82" spans="1:256" ht="13.5" thickBot="1">
      <c r="A82" s="210"/>
      <c r="B82" s="204"/>
      <c r="C82" s="245"/>
      <c r="D82" s="104"/>
      <c r="E82" s="104"/>
      <c r="F82" s="104"/>
      <c r="G82" s="104"/>
      <c r="H82" s="104"/>
      <c r="I82" s="104"/>
      <c r="J82" s="104"/>
      <c r="K82" s="104"/>
      <c r="L82" s="104"/>
      <c r="M82" s="228"/>
      <c r="N82" s="228"/>
      <c r="O82" s="229"/>
      <c r="P82" s="207"/>
      <c r="Q82" s="208"/>
      <c r="R82" s="209"/>
      <c r="S82" s="35"/>
      <c r="T82" s="43"/>
      <c r="U82" s="43"/>
      <c r="V82" s="43"/>
      <c r="W82" s="43"/>
      <c r="X82" s="36"/>
      <c r="Y82" s="43"/>
      <c r="Z82" s="46"/>
      <c r="AA82" s="6"/>
      <c r="AB82" s="4"/>
      <c r="AC82" s="4"/>
      <c r="AD82" s="4"/>
      <c r="AE82" s="4"/>
      <c r="AF82" s="4"/>
      <c r="AG82" s="4"/>
      <c r="AH82" s="4"/>
      <c r="AI82" s="4"/>
      <c r="AJ82" s="43"/>
      <c r="AK82" s="4"/>
      <c r="AL82" s="43"/>
      <c r="AM82" s="43"/>
      <c r="AN82" s="6"/>
      <c r="AO82" s="4"/>
      <c r="AP82" s="4"/>
      <c r="AQ82" s="4"/>
      <c r="AR82" s="4"/>
      <c r="AS82" s="4"/>
      <c r="AT82" s="4"/>
      <c r="AU82" s="4"/>
      <c r="AV82" s="4"/>
      <c r="AW82" s="45"/>
      <c r="AX82" s="4"/>
      <c r="AY82" s="4"/>
      <c r="AZ82" s="4"/>
      <c r="BA82" s="4"/>
      <c r="BB82" s="4"/>
      <c r="BC82" s="11">
        <f aca="true" t="shared" si="119" ref="BC82:BC99">IF((AZ41)=1,0,(BI41))</f>
        <v>123.75</v>
      </c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3"/>
      <c r="EU82" s="43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13">
        <f t="shared" si="112"/>
        <v>0</v>
      </c>
      <c r="GL82" s="4"/>
      <c r="GM82" s="4"/>
      <c r="GN82" s="4"/>
      <c r="GO82" s="6"/>
      <c r="GP82" s="112" t="s">
        <v>741</v>
      </c>
      <c r="GQ82" s="100"/>
      <c r="GR82" s="58">
        <v>1</v>
      </c>
      <c r="GS82" s="71"/>
      <c r="GT82" s="71"/>
      <c r="GU82" s="71"/>
      <c r="GV82" s="45" t="s">
        <v>28</v>
      </c>
      <c r="GW82" s="65">
        <f t="shared" si="113"/>
        <v>0</v>
      </c>
      <c r="GX82" s="80">
        <f t="shared" si="114"/>
        <v>0</v>
      </c>
      <c r="GY82" s="6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13">
        <f t="shared" si="115"/>
        <v>0</v>
      </c>
      <c r="HL82" s="4"/>
      <c r="HM82" s="4"/>
      <c r="HN82" s="4"/>
      <c r="HO82" s="70"/>
      <c r="HP82" s="43"/>
      <c r="HQ82" s="43"/>
      <c r="HR82" s="161">
        <f t="shared" si="116"/>
        <v>0</v>
      </c>
      <c r="HS82" s="161">
        <f t="shared" si="116"/>
        <v>0</v>
      </c>
      <c r="HT82" s="161">
        <f t="shared" si="116"/>
        <v>0</v>
      </c>
      <c r="HU82" s="161">
        <f t="shared" si="116"/>
        <v>0</v>
      </c>
      <c r="HV82" s="45" t="s">
        <v>28</v>
      </c>
      <c r="HW82" s="65">
        <f t="shared" si="117"/>
        <v>0</v>
      </c>
      <c r="HX82" s="106">
        <f t="shared" si="118"/>
        <v>0</v>
      </c>
      <c r="HY82" s="45"/>
      <c r="HZ82" s="43"/>
      <c r="IA82" s="70"/>
      <c r="IB82" s="112" t="s">
        <v>742</v>
      </c>
      <c r="IC82" s="100"/>
      <c r="ID82" s="100"/>
      <c r="IE82" s="65"/>
      <c r="IF82" s="338">
        <f>(IE81)</f>
        <v>20</v>
      </c>
      <c r="IG82" s="158" t="s">
        <v>513</v>
      </c>
      <c r="IH82" s="45" t="s">
        <v>28</v>
      </c>
      <c r="II82" s="65"/>
      <c r="IJ82" s="157"/>
      <c r="IK82" s="94"/>
      <c r="IL82" s="11">
        <f t="shared" si="106"/>
        <v>0</v>
      </c>
      <c r="IM82" s="13">
        <f t="shared" si="107"/>
        <v>0</v>
      </c>
      <c r="IN82" s="13">
        <f t="shared" si="108"/>
        <v>0</v>
      </c>
      <c r="IO82" s="13">
        <f t="shared" si="109"/>
        <v>0</v>
      </c>
      <c r="IP82" s="13">
        <f>IF((HA35)=1,0,(HJ36))</f>
        <v>0</v>
      </c>
      <c r="IQ82" s="4"/>
      <c r="IR82" s="4"/>
      <c r="IS82" s="6" t="s">
        <v>28</v>
      </c>
      <c r="IT82" s="4"/>
      <c r="IU82" s="4"/>
      <c r="IV82" s="4"/>
    </row>
    <row r="83" spans="1:256" ht="13.5" customHeight="1" thickBot="1">
      <c r="A83" s="210"/>
      <c r="B83" s="204"/>
      <c r="C83" s="245"/>
      <c r="D83" s="165" t="s">
        <v>743</v>
      </c>
      <c r="E83" s="165" t="s">
        <v>744</v>
      </c>
      <c r="F83" s="104"/>
      <c r="G83" s="104"/>
      <c r="H83" s="104"/>
      <c r="I83" s="104"/>
      <c r="J83" s="104"/>
      <c r="K83" s="104"/>
      <c r="L83" s="104"/>
      <c r="M83" s="228"/>
      <c r="N83" s="228"/>
      <c r="O83" s="229">
        <f>Y17</f>
        <v>2600</v>
      </c>
      <c r="P83" s="207"/>
      <c r="Q83" s="208"/>
      <c r="R83" s="209"/>
      <c r="S83" s="182" t="s">
        <v>745</v>
      </c>
      <c r="T83" s="47" t="s">
        <v>746</v>
      </c>
      <c r="U83" s="43"/>
      <c r="V83" s="43"/>
      <c r="W83" s="43"/>
      <c r="X83" s="62">
        <f>SUM(X84:X89)</f>
        <v>0</v>
      </c>
      <c r="Y83" s="300">
        <f>SUM(Y84:Y89)</f>
        <v>31864.46</v>
      </c>
      <c r="Z83" s="63">
        <f aca="true" t="shared" si="120" ref="Z83:Z89">IF((X83)=0,0,(Y83-X83)/X83)</f>
        <v>0</v>
      </c>
      <c r="AA83" s="6"/>
      <c r="AB83" s="4"/>
      <c r="AC83" s="4"/>
      <c r="AD83" s="4"/>
      <c r="AE83" s="4"/>
      <c r="AF83" s="4"/>
      <c r="AG83" s="4"/>
      <c r="AH83" s="4"/>
      <c r="AI83" s="4"/>
      <c r="AJ83" s="43"/>
      <c r="AK83" s="4"/>
      <c r="AL83" s="43"/>
      <c r="AM83" s="43"/>
      <c r="AN83" s="6"/>
      <c r="AO83" s="4"/>
      <c r="AP83" s="4"/>
      <c r="AQ83" s="4"/>
      <c r="AR83" s="4"/>
      <c r="AS83" s="4"/>
      <c r="AT83" s="4"/>
      <c r="AU83" s="4"/>
      <c r="AV83" s="4"/>
      <c r="AW83" s="45"/>
      <c r="AX83" s="4"/>
      <c r="AY83" s="4"/>
      <c r="AZ83" s="4"/>
      <c r="BA83" s="4"/>
      <c r="BB83" s="4"/>
      <c r="BC83" s="11">
        <f t="shared" si="119"/>
        <v>142.5</v>
      </c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3"/>
      <c r="EU83" s="43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13">
        <f t="shared" si="112"/>
        <v>0</v>
      </c>
      <c r="GL83" s="4"/>
      <c r="GM83" s="4"/>
      <c r="GN83" s="4"/>
      <c r="GO83" s="6"/>
      <c r="GP83" s="112" t="s">
        <v>747</v>
      </c>
      <c r="GQ83" s="100"/>
      <c r="GR83" s="58">
        <v>1</v>
      </c>
      <c r="GS83" s="71"/>
      <c r="GT83" s="71"/>
      <c r="GU83" s="71"/>
      <c r="GV83" s="45" t="s">
        <v>28</v>
      </c>
      <c r="GW83" s="65">
        <f t="shared" si="113"/>
        <v>0</v>
      </c>
      <c r="GX83" s="80">
        <f t="shared" si="114"/>
        <v>0</v>
      </c>
      <c r="GY83" s="6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13">
        <f t="shared" si="115"/>
        <v>0</v>
      </c>
      <c r="HL83" s="4"/>
      <c r="HM83" s="4"/>
      <c r="HN83" s="4"/>
      <c r="HO83" s="70"/>
      <c r="HP83" s="43"/>
      <c r="HQ83" s="43"/>
      <c r="HR83" s="161">
        <f t="shared" si="116"/>
        <v>0</v>
      </c>
      <c r="HS83" s="161">
        <f t="shared" si="116"/>
        <v>0</v>
      </c>
      <c r="HT83" s="161">
        <f t="shared" si="116"/>
        <v>0</v>
      </c>
      <c r="HU83" s="161">
        <f t="shared" si="116"/>
        <v>0</v>
      </c>
      <c r="HV83" s="45" t="s">
        <v>28</v>
      </c>
      <c r="HW83" s="65">
        <f t="shared" si="117"/>
        <v>0</v>
      </c>
      <c r="HX83" s="106">
        <f t="shared" si="118"/>
        <v>0</v>
      </c>
      <c r="HY83" s="45"/>
      <c r="HZ83" s="43"/>
      <c r="IA83" s="70"/>
      <c r="IB83" s="112" t="s">
        <v>724</v>
      </c>
      <c r="IC83" s="100"/>
      <c r="ID83" s="100"/>
      <c r="IE83" s="65"/>
      <c r="IF83" s="338">
        <f>(IF81*IF82)</f>
        <v>6500</v>
      </c>
      <c r="IG83" s="158" t="s">
        <v>513</v>
      </c>
      <c r="IH83" s="45" t="s">
        <v>28</v>
      </c>
      <c r="II83" s="65"/>
      <c r="IJ83" s="157"/>
      <c r="IK83" s="94"/>
      <c r="IL83" s="11">
        <f t="shared" si="106"/>
        <v>0</v>
      </c>
      <c r="IM83" s="13">
        <f t="shared" si="107"/>
        <v>0</v>
      </c>
      <c r="IN83" s="13">
        <f t="shared" si="108"/>
        <v>25</v>
      </c>
      <c r="IO83" s="13">
        <f t="shared" si="109"/>
        <v>0</v>
      </c>
      <c r="IP83" s="13">
        <f>IF((HA36)=1,0,(HJ37))</f>
        <v>0</v>
      </c>
      <c r="IQ83" s="4"/>
      <c r="IR83" s="4"/>
      <c r="IS83" s="6" t="s">
        <v>28</v>
      </c>
      <c r="IT83" s="4"/>
      <c r="IU83" s="4"/>
      <c r="IV83" s="4"/>
    </row>
    <row r="84" spans="1:256" ht="12.75">
      <c r="A84" s="210"/>
      <c r="B84" s="204"/>
      <c r="C84" s="245"/>
      <c r="D84" s="104"/>
      <c r="E84" s="104"/>
      <c r="F84" s="104"/>
      <c r="G84" s="104"/>
      <c r="H84" s="104"/>
      <c r="I84" s="104"/>
      <c r="J84" s="104"/>
      <c r="K84" s="104"/>
      <c r="L84" s="104"/>
      <c r="M84" s="228"/>
      <c r="N84" s="228"/>
      <c r="O84" s="229"/>
      <c r="P84" s="207"/>
      <c r="Q84" s="208"/>
      <c r="R84" s="209"/>
      <c r="S84" s="35"/>
      <c r="T84" s="44" t="s">
        <v>399</v>
      </c>
      <c r="U84" s="43"/>
      <c r="V84" s="43"/>
      <c r="W84" s="43"/>
      <c r="X84" s="62">
        <v>0</v>
      </c>
      <c r="Y84" s="473">
        <f>Y29+Y24</f>
        <v>16247</v>
      </c>
      <c r="Z84" s="63">
        <f t="shared" si="120"/>
        <v>0</v>
      </c>
      <c r="AA84" s="6"/>
      <c r="AB84" s="4"/>
      <c r="AC84" s="4"/>
      <c r="AD84" s="4"/>
      <c r="AE84" s="4"/>
      <c r="AF84" s="4"/>
      <c r="AG84" s="4"/>
      <c r="AH84" s="4"/>
      <c r="AI84" s="4"/>
      <c r="AJ84" s="43"/>
      <c r="AK84" s="4"/>
      <c r="AL84" s="43"/>
      <c r="AM84" s="43"/>
      <c r="AN84" s="6"/>
      <c r="AO84" s="4"/>
      <c r="AP84" s="4"/>
      <c r="AQ84" s="4"/>
      <c r="AR84" s="4"/>
      <c r="AS84" s="4"/>
      <c r="AT84" s="4"/>
      <c r="AU84" s="4"/>
      <c r="AV84" s="4"/>
      <c r="AW84" s="45"/>
      <c r="AX84" s="4"/>
      <c r="AY84" s="4"/>
      <c r="AZ84" s="4"/>
      <c r="BA84" s="4"/>
      <c r="BB84" s="4"/>
      <c r="BC84" s="11">
        <f t="shared" si="119"/>
        <v>0</v>
      </c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3"/>
      <c r="EU84" s="43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13">
        <f t="shared" si="112"/>
        <v>0</v>
      </c>
      <c r="GL84" s="4"/>
      <c r="GM84" s="4"/>
      <c r="GN84" s="4"/>
      <c r="GO84" s="6"/>
      <c r="GP84" s="112" t="s">
        <v>748</v>
      </c>
      <c r="GQ84" s="100"/>
      <c r="GR84" s="58">
        <v>1</v>
      </c>
      <c r="GS84" s="71"/>
      <c r="GT84" s="71"/>
      <c r="GU84" s="71"/>
      <c r="GV84" s="45" t="s">
        <v>28</v>
      </c>
      <c r="GW84" s="65">
        <f t="shared" si="113"/>
        <v>0</v>
      </c>
      <c r="GX84" s="80">
        <f t="shared" si="114"/>
        <v>0</v>
      </c>
      <c r="GY84" s="6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13">
        <f t="shared" si="115"/>
        <v>0</v>
      </c>
      <c r="HL84" s="4"/>
      <c r="HM84" s="4"/>
      <c r="HN84" s="4"/>
      <c r="HO84" s="70"/>
      <c r="HP84" s="43"/>
      <c r="HQ84" s="43"/>
      <c r="HR84" s="161">
        <f t="shared" si="116"/>
        <v>0</v>
      </c>
      <c r="HS84" s="161">
        <f t="shared" si="116"/>
        <v>0</v>
      </c>
      <c r="HT84" s="161">
        <f t="shared" si="116"/>
        <v>0</v>
      </c>
      <c r="HU84" s="161">
        <f t="shared" si="116"/>
        <v>0</v>
      </c>
      <c r="HV84" s="45" t="s">
        <v>28</v>
      </c>
      <c r="HW84" s="65">
        <f t="shared" si="117"/>
        <v>0</v>
      </c>
      <c r="HX84" s="106">
        <f t="shared" si="118"/>
        <v>0</v>
      </c>
      <c r="HY84" s="45"/>
      <c r="HZ84" s="43"/>
      <c r="IA84" s="70"/>
      <c r="IB84" s="126"/>
      <c r="IC84" s="100"/>
      <c r="ID84" s="100"/>
      <c r="IE84" s="65"/>
      <c r="IF84" s="71"/>
      <c r="IG84" s="141"/>
      <c r="IH84" s="45" t="s">
        <v>28</v>
      </c>
      <c r="II84" s="65"/>
      <c r="IJ84" s="157"/>
      <c r="IK84" s="94"/>
      <c r="IL84" s="11">
        <f t="shared" si="106"/>
        <v>230</v>
      </c>
      <c r="IM84" s="13">
        <f t="shared" si="107"/>
        <v>0</v>
      </c>
      <c r="IN84" s="13">
        <f t="shared" si="108"/>
        <v>40</v>
      </c>
      <c r="IO84" s="13">
        <f t="shared" si="109"/>
        <v>0</v>
      </c>
      <c r="IP84" s="13">
        <f>IF((HA37)=1,0,(HJ38))</f>
        <v>0</v>
      </c>
      <c r="IQ84" s="4"/>
      <c r="IR84" s="4"/>
      <c r="IS84" s="6" t="s">
        <v>28</v>
      </c>
      <c r="IT84" s="4"/>
      <c r="IU84" s="4"/>
      <c r="IV84" s="4"/>
    </row>
    <row r="85" spans="1:256" ht="12.75">
      <c r="A85" s="210"/>
      <c r="B85" s="204"/>
      <c r="C85" s="245"/>
      <c r="D85" s="165" t="s">
        <v>749</v>
      </c>
      <c r="E85" s="165" t="s">
        <v>750</v>
      </c>
      <c r="F85" s="104"/>
      <c r="G85" s="104"/>
      <c r="H85" s="104"/>
      <c r="I85" s="104"/>
      <c r="J85" s="104"/>
      <c r="K85" s="104"/>
      <c r="L85" s="104"/>
      <c r="M85" s="228"/>
      <c r="N85" s="228"/>
      <c r="O85" s="229">
        <f>(Y83)</f>
        <v>31864.46</v>
      </c>
      <c r="P85" s="207"/>
      <c r="Q85" s="208"/>
      <c r="R85" s="209"/>
      <c r="S85" s="35"/>
      <c r="T85" s="44" t="s">
        <v>293</v>
      </c>
      <c r="U85" s="43"/>
      <c r="V85" s="43"/>
      <c r="W85" s="43"/>
      <c r="X85" s="36">
        <v>0</v>
      </c>
      <c r="Y85" s="473">
        <f>Y22</f>
        <v>8162.46</v>
      </c>
      <c r="Z85" s="63">
        <f t="shared" si="120"/>
        <v>0</v>
      </c>
      <c r="AA85" s="6"/>
      <c r="AB85" s="4"/>
      <c r="AC85" s="4"/>
      <c r="AD85" s="4"/>
      <c r="AE85" s="4"/>
      <c r="AF85" s="4"/>
      <c r="AG85" s="4"/>
      <c r="AH85" s="4"/>
      <c r="AI85" s="4"/>
      <c r="AJ85" s="43"/>
      <c r="AK85" s="4"/>
      <c r="AL85" s="43"/>
      <c r="AM85" s="43"/>
      <c r="AN85" s="6"/>
      <c r="AO85" s="4"/>
      <c r="AP85" s="4"/>
      <c r="AQ85" s="4"/>
      <c r="AR85" s="4"/>
      <c r="AS85" s="4"/>
      <c r="AT85" s="4"/>
      <c r="AU85" s="4"/>
      <c r="AV85" s="4"/>
      <c r="AW85" s="45"/>
      <c r="AX85" s="4"/>
      <c r="AY85" s="4"/>
      <c r="AZ85" s="4"/>
      <c r="BA85" s="4"/>
      <c r="BB85" s="4"/>
      <c r="BC85" s="11">
        <f t="shared" si="119"/>
        <v>45</v>
      </c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3"/>
      <c r="EU85" s="43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13">
        <f t="shared" si="112"/>
        <v>0</v>
      </c>
      <c r="GL85" s="4"/>
      <c r="GM85" s="4"/>
      <c r="GN85" s="4"/>
      <c r="GO85" s="6"/>
      <c r="GP85" s="112" t="s">
        <v>751</v>
      </c>
      <c r="GQ85" s="100"/>
      <c r="GR85" s="58">
        <v>1</v>
      </c>
      <c r="GS85" s="71"/>
      <c r="GT85" s="71"/>
      <c r="GU85" s="71"/>
      <c r="GV85" s="45" t="s">
        <v>28</v>
      </c>
      <c r="GW85" s="65">
        <f t="shared" si="113"/>
        <v>0</v>
      </c>
      <c r="GX85" s="80">
        <f t="shared" si="114"/>
        <v>0</v>
      </c>
      <c r="GY85" s="6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13">
        <f t="shared" si="115"/>
        <v>0</v>
      </c>
      <c r="HL85" s="4"/>
      <c r="HM85" s="4"/>
      <c r="HN85" s="4"/>
      <c r="HO85" s="70"/>
      <c r="HP85" s="43"/>
      <c r="HQ85" s="43"/>
      <c r="HR85" s="161">
        <f t="shared" si="116"/>
        <v>0</v>
      </c>
      <c r="HS85" s="161">
        <f t="shared" si="116"/>
        <v>0</v>
      </c>
      <c r="HT85" s="161">
        <f t="shared" si="116"/>
        <v>0</v>
      </c>
      <c r="HU85" s="161">
        <f t="shared" si="116"/>
        <v>0</v>
      </c>
      <c r="HV85" s="45" t="s">
        <v>28</v>
      </c>
      <c r="HW85" s="65">
        <f t="shared" si="117"/>
        <v>0</v>
      </c>
      <c r="HX85" s="106">
        <f t="shared" si="118"/>
        <v>0</v>
      </c>
      <c r="HY85" s="45"/>
      <c r="HZ85" s="43"/>
      <c r="IA85" s="70"/>
      <c r="IB85" s="38" t="s">
        <v>752</v>
      </c>
      <c r="IC85" s="43"/>
      <c r="ID85" s="43"/>
      <c r="IE85" s="65"/>
      <c r="IF85" s="71"/>
      <c r="IG85" s="141"/>
      <c r="IH85" s="45" t="s">
        <v>28</v>
      </c>
      <c r="II85" s="65"/>
      <c r="IJ85" s="157"/>
      <c r="IK85" s="94"/>
      <c r="IL85" s="11">
        <f t="shared" si="106"/>
        <v>0</v>
      </c>
      <c r="IM85" s="13">
        <f t="shared" si="107"/>
        <v>0</v>
      </c>
      <c r="IN85" s="13">
        <f t="shared" si="108"/>
        <v>35</v>
      </c>
      <c r="IO85" s="13">
        <f t="shared" si="109"/>
        <v>0</v>
      </c>
      <c r="IP85" s="13">
        <f aca="true" t="shared" si="121" ref="IP85:IP99">IF((HA39)=1,0,(HJ39))</f>
        <v>0</v>
      </c>
      <c r="IQ85" s="4"/>
      <c r="IR85" s="4"/>
      <c r="IS85" s="6" t="s">
        <v>28</v>
      </c>
      <c r="IT85" s="4"/>
      <c r="IU85" s="4"/>
      <c r="IV85" s="4"/>
    </row>
    <row r="86" spans="1:256" ht="12.75">
      <c r="A86" s="210"/>
      <c r="B86" s="204"/>
      <c r="C86" s="245"/>
      <c r="D86" s="104"/>
      <c r="E86" s="104"/>
      <c r="F86" s="104"/>
      <c r="G86" s="104"/>
      <c r="H86" s="104"/>
      <c r="I86" s="104"/>
      <c r="J86" s="104"/>
      <c r="K86" s="104"/>
      <c r="L86" s="104"/>
      <c r="M86" s="228"/>
      <c r="N86" s="228"/>
      <c r="O86" s="229"/>
      <c r="P86" s="207"/>
      <c r="Q86" s="208"/>
      <c r="R86" s="209"/>
      <c r="S86" s="35"/>
      <c r="T86" s="44" t="s">
        <v>308</v>
      </c>
      <c r="U86" s="43"/>
      <c r="V86" s="43"/>
      <c r="W86" s="43"/>
      <c r="X86" s="36">
        <v>0</v>
      </c>
      <c r="Y86" s="473">
        <f>Y23</f>
        <v>755</v>
      </c>
      <c r="Z86" s="63">
        <f t="shared" si="120"/>
        <v>0</v>
      </c>
      <c r="AA86" s="6"/>
      <c r="AB86" s="4"/>
      <c r="AC86" s="4"/>
      <c r="AD86" s="4"/>
      <c r="AE86" s="4"/>
      <c r="AF86" s="4"/>
      <c r="AG86" s="4"/>
      <c r="AH86" s="4"/>
      <c r="AI86" s="4"/>
      <c r="AJ86" s="43"/>
      <c r="AK86" s="4"/>
      <c r="AL86" s="43"/>
      <c r="AM86" s="43"/>
      <c r="AN86" s="6"/>
      <c r="AO86" s="4"/>
      <c r="AP86" s="4"/>
      <c r="AQ86" s="4"/>
      <c r="AR86" s="4"/>
      <c r="AS86" s="4"/>
      <c r="AT86" s="4"/>
      <c r="AU86" s="4"/>
      <c r="AV86" s="4"/>
      <c r="AW86" s="45"/>
      <c r="AX86" s="4"/>
      <c r="AY86" s="4"/>
      <c r="AZ86" s="4"/>
      <c r="BA86" s="4"/>
      <c r="BB86" s="4"/>
      <c r="BC86" s="11">
        <f t="shared" si="119"/>
        <v>12</v>
      </c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3"/>
      <c r="EU86" s="43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13">
        <f t="shared" si="112"/>
        <v>0</v>
      </c>
      <c r="GL86" s="4"/>
      <c r="GM86" s="4"/>
      <c r="GN86" s="4"/>
      <c r="GO86" s="6"/>
      <c r="GP86" s="112" t="s">
        <v>753</v>
      </c>
      <c r="GQ86" s="100"/>
      <c r="GR86" s="58">
        <v>1</v>
      </c>
      <c r="GS86" s="71"/>
      <c r="GT86" s="71"/>
      <c r="GU86" s="71"/>
      <c r="GV86" s="45" t="s">
        <v>28</v>
      </c>
      <c r="GW86" s="65">
        <f t="shared" si="113"/>
        <v>0</v>
      </c>
      <c r="GX86" s="80">
        <f t="shared" si="114"/>
        <v>0</v>
      </c>
      <c r="GY86" s="6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13">
        <f t="shared" si="115"/>
        <v>0</v>
      </c>
      <c r="HL86" s="4"/>
      <c r="HM86" s="4"/>
      <c r="HN86" s="4"/>
      <c r="HO86" s="70"/>
      <c r="HP86" s="43"/>
      <c r="HQ86" s="43"/>
      <c r="HR86" s="161">
        <f t="shared" si="116"/>
        <v>0</v>
      </c>
      <c r="HS86" s="161">
        <f t="shared" si="116"/>
        <v>0</v>
      </c>
      <c r="HT86" s="161">
        <f t="shared" si="116"/>
        <v>0</v>
      </c>
      <c r="HU86" s="161">
        <f t="shared" si="116"/>
        <v>0</v>
      </c>
      <c r="HV86" s="45" t="s">
        <v>28</v>
      </c>
      <c r="HW86" s="65">
        <f t="shared" si="117"/>
        <v>0</v>
      </c>
      <c r="HX86" s="106">
        <f t="shared" si="118"/>
        <v>0</v>
      </c>
      <c r="HY86" s="45"/>
      <c r="HZ86" s="43"/>
      <c r="IA86" s="70"/>
      <c r="IB86" s="112" t="s">
        <v>754</v>
      </c>
      <c r="IC86" s="100"/>
      <c r="ID86" s="100"/>
      <c r="IE86" s="65">
        <v>5</v>
      </c>
      <c r="IF86" s="338">
        <f>(IE73)</f>
        <v>325</v>
      </c>
      <c r="IG86" s="141">
        <f>($BD$2)/1000</f>
        <v>0.2</v>
      </c>
      <c r="IH86" s="45" t="s">
        <v>28</v>
      </c>
      <c r="II86" s="65">
        <f>(IE86*IF86*IG86)</f>
        <v>325</v>
      </c>
      <c r="IJ86" s="106">
        <f>(II86/$BF$2)*1000</f>
        <v>1625</v>
      </c>
      <c r="IK86" s="94"/>
      <c r="IL86" s="11">
        <f t="shared" si="106"/>
        <v>0</v>
      </c>
      <c r="IM86" s="13">
        <f t="shared" si="107"/>
        <v>50</v>
      </c>
      <c r="IN86" s="13">
        <f t="shared" si="108"/>
        <v>0</v>
      </c>
      <c r="IO86" s="13">
        <f t="shared" si="109"/>
        <v>0</v>
      </c>
      <c r="IP86" s="13">
        <f t="shared" si="121"/>
        <v>0</v>
      </c>
      <c r="IQ86" s="4"/>
      <c r="IR86" s="4"/>
      <c r="IS86" s="6" t="s">
        <v>28</v>
      </c>
      <c r="IT86" s="4"/>
      <c r="IU86" s="4"/>
      <c r="IV86" s="4"/>
    </row>
    <row r="87" spans="1:256" ht="12.75">
      <c r="A87" s="210"/>
      <c r="B87" s="204"/>
      <c r="C87" s="245"/>
      <c r="D87" s="165" t="s">
        <v>755</v>
      </c>
      <c r="E87" s="165" t="s">
        <v>756</v>
      </c>
      <c r="F87" s="104"/>
      <c r="G87" s="104"/>
      <c r="H87" s="104"/>
      <c r="I87" s="104"/>
      <c r="J87" s="104"/>
      <c r="K87" s="104"/>
      <c r="L87" s="104"/>
      <c r="M87" s="228"/>
      <c r="N87" s="228"/>
      <c r="O87" s="229">
        <f>Y44</f>
        <v>3230</v>
      </c>
      <c r="P87" s="207"/>
      <c r="Q87" s="208"/>
      <c r="R87" s="209"/>
      <c r="S87" s="35"/>
      <c r="T87" s="44" t="s">
        <v>340</v>
      </c>
      <c r="U87" s="43"/>
      <c r="V87" s="43"/>
      <c r="W87" s="43"/>
      <c r="X87" s="36">
        <v>0</v>
      </c>
      <c r="Y87" s="473">
        <f>Y25</f>
        <v>6000</v>
      </c>
      <c r="Z87" s="63">
        <f t="shared" si="120"/>
        <v>0</v>
      </c>
      <c r="AA87" s="6"/>
      <c r="AB87" s="4"/>
      <c r="AC87" s="4"/>
      <c r="AD87" s="4"/>
      <c r="AE87" s="4"/>
      <c r="AF87" s="4"/>
      <c r="AG87" s="4"/>
      <c r="AH87" s="4"/>
      <c r="AI87" s="4"/>
      <c r="AJ87" s="43"/>
      <c r="AK87" s="4"/>
      <c r="AL87" s="43"/>
      <c r="AM87" s="43"/>
      <c r="AN87" s="6"/>
      <c r="AO87" s="4"/>
      <c r="AP87" s="4"/>
      <c r="AQ87" s="4"/>
      <c r="AR87" s="4"/>
      <c r="AS87" s="4"/>
      <c r="AT87" s="4"/>
      <c r="AU87" s="4"/>
      <c r="AV87" s="4"/>
      <c r="AW87" s="45"/>
      <c r="AX87" s="4"/>
      <c r="AY87" s="4"/>
      <c r="AZ87" s="4"/>
      <c r="BA87" s="4"/>
      <c r="BB87" s="4"/>
      <c r="BC87" s="11">
        <f t="shared" si="119"/>
        <v>0</v>
      </c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3"/>
      <c r="EU87" s="43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13">
        <f t="shared" si="112"/>
        <v>0</v>
      </c>
      <c r="GL87" s="4"/>
      <c r="GM87" s="4"/>
      <c r="GN87" s="4"/>
      <c r="GO87" s="6"/>
      <c r="GP87" s="112" t="s">
        <v>757</v>
      </c>
      <c r="GQ87" s="100"/>
      <c r="GR87" s="58">
        <v>4</v>
      </c>
      <c r="GS87" s="71"/>
      <c r="GT87" s="71"/>
      <c r="GU87" s="71"/>
      <c r="GV87" s="45" t="s">
        <v>28</v>
      </c>
      <c r="GW87" s="65">
        <f t="shared" si="113"/>
        <v>0</v>
      </c>
      <c r="GX87" s="80">
        <f t="shared" si="114"/>
        <v>0</v>
      </c>
      <c r="GY87" s="6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13">
        <f t="shared" si="115"/>
        <v>0</v>
      </c>
      <c r="HL87" s="4"/>
      <c r="HM87" s="4"/>
      <c r="HN87" s="4"/>
      <c r="HO87" s="70"/>
      <c r="HP87" s="43"/>
      <c r="HQ87" s="43"/>
      <c r="HR87" s="161">
        <f t="shared" si="116"/>
        <v>0</v>
      </c>
      <c r="HS87" s="161">
        <f t="shared" si="116"/>
        <v>0</v>
      </c>
      <c r="HT87" s="161">
        <f t="shared" si="116"/>
        <v>0</v>
      </c>
      <c r="HU87" s="161">
        <f t="shared" si="116"/>
        <v>0</v>
      </c>
      <c r="HV87" s="45" t="s">
        <v>28</v>
      </c>
      <c r="HW87" s="65">
        <f t="shared" si="117"/>
        <v>0</v>
      </c>
      <c r="HX87" s="106">
        <f t="shared" si="118"/>
        <v>0</v>
      </c>
      <c r="HY87" s="45"/>
      <c r="HZ87" s="43"/>
      <c r="IA87" s="70"/>
      <c r="IB87" s="112" t="s">
        <v>758</v>
      </c>
      <c r="IC87" s="100"/>
      <c r="ID87" s="100"/>
      <c r="IE87" s="65">
        <v>5</v>
      </c>
      <c r="IF87" s="338">
        <f>(IE74)</f>
        <v>40</v>
      </c>
      <c r="IG87" s="141">
        <f>($BD$2)/1000</f>
        <v>0.2</v>
      </c>
      <c r="IH87" s="45" t="s">
        <v>28</v>
      </c>
      <c r="II87" s="65">
        <f>(IE87*IF87*IG87)</f>
        <v>40</v>
      </c>
      <c r="IJ87" s="106">
        <f>(II87/$BF$2)*1000</f>
        <v>200</v>
      </c>
      <c r="IK87" s="94"/>
      <c r="IL87" s="11">
        <f t="shared" si="106"/>
        <v>0</v>
      </c>
      <c r="IM87" s="13">
        <f t="shared" si="107"/>
        <v>0</v>
      </c>
      <c r="IN87" s="13">
        <f t="shared" si="108"/>
        <v>0</v>
      </c>
      <c r="IO87" s="13">
        <f t="shared" si="109"/>
        <v>0</v>
      </c>
      <c r="IP87" s="13">
        <f t="shared" si="121"/>
        <v>226.79999999999998</v>
      </c>
      <c r="IQ87" s="4"/>
      <c r="IR87" s="4"/>
      <c r="IS87" s="6" t="s">
        <v>28</v>
      </c>
      <c r="IT87" s="4"/>
      <c r="IU87" s="4"/>
      <c r="IV87" s="4"/>
    </row>
    <row r="88" spans="1:256" ht="12.75">
      <c r="A88" s="210"/>
      <c r="B88" s="204"/>
      <c r="C88" s="245"/>
      <c r="D88" s="104"/>
      <c r="E88" s="104"/>
      <c r="F88" s="104"/>
      <c r="G88" s="104"/>
      <c r="H88" s="104"/>
      <c r="I88" s="104"/>
      <c r="J88" s="104"/>
      <c r="K88" s="104"/>
      <c r="L88" s="104"/>
      <c r="M88" s="228"/>
      <c r="N88" s="228"/>
      <c r="O88" s="229"/>
      <c r="P88" s="207"/>
      <c r="Q88" s="208"/>
      <c r="R88" s="209"/>
      <c r="S88" s="35"/>
      <c r="T88" s="44" t="s">
        <v>359</v>
      </c>
      <c r="U88" s="43"/>
      <c r="V88" s="43"/>
      <c r="W88" s="43"/>
      <c r="X88" s="36">
        <v>0</v>
      </c>
      <c r="Y88" s="473">
        <f>Y26</f>
        <v>700</v>
      </c>
      <c r="Z88" s="63">
        <f t="shared" si="120"/>
        <v>0</v>
      </c>
      <c r="AA88" s="6"/>
      <c r="AB88" s="4"/>
      <c r="AC88" s="4"/>
      <c r="AD88" s="4"/>
      <c r="AE88" s="4"/>
      <c r="AF88" s="4"/>
      <c r="AG88" s="4"/>
      <c r="AH88" s="4"/>
      <c r="AI88" s="4"/>
      <c r="AJ88" s="43"/>
      <c r="AK88" s="4"/>
      <c r="AL88" s="43"/>
      <c r="AM88" s="43"/>
      <c r="AN88" s="6"/>
      <c r="AO88" s="4"/>
      <c r="AP88" s="4"/>
      <c r="AQ88" s="4"/>
      <c r="AR88" s="4"/>
      <c r="AS88" s="4"/>
      <c r="AT88" s="4"/>
      <c r="AU88" s="4"/>
      <c r="AV88" s="4"/>
      <c r="AW88" s="45"/>
      <c r="AX88" s="4"/>
      <c r="AY88" s="4"/>
      <c r="AZ88" s="4"/>
      <c r="BA88" s="4"/>
      <c r="BB88" s="4"/>
      <c r="BC88" s="11">
        <f t="shared" si="119"/>
        <v>0</v>
      </c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3"/>
      <c r="EU88" s="43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13">
        <f t="shared" si="112"/>
        <v>0</v>
      </c>
      <c r="GL88" s="4"/>
      <c r="GM88" s="4"/>
      <c r="GN88" s="4"/>
      <c r="GO88" s="6"/>
      <c r="GP88" s="112" t="s">
        <v>759</v>
      </c>
      <c r="GQ88" s="100"/>
      <c r="GR88" s="58">
        <v>1</v>
      </c>
      <c r="GS88" s="71"/>
      <c r="GT88" s="71"/>
      <c r="GU88" s="71"/>
      <c r="GV88" s="45" t="s">
        <v>28</v>
      </c>
      <c r="GW88" s="65">
        <f t="shared" si="113"/>
        <v>0</v>
      </c>
      <c r="GX88" s="80">
        <f t="shared" si="114"/>
        <v>0</v>
      </c>
      <c r="GY88" s="6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13">
        <f t="shared" si="115"/>
        <v>0</v>
      </c>
      <c r="HL88" s="4"/>
      <c r="HM88" s="4"/>
      <c r="HN88" s="4"/>
      <c r="HO88" s="70"/>
      <c r="HP88" s="43"/>
      <c r="HQ88" s="43"/>
      <c r="HR88" s="161">
        <f t="shared" si="116"/>
        <v>0</v>
      </c>
      <c r="HS88" s="161">
        <f t="shared" si="116"/>
        <v>0</v>
      </c>
      <c r="HT88" s="161">
        <f t="shared" si="116"/>
        <v>0</v>
      </c>
      <c r="HU88" s="161">
        <f t="shared" si="116"/>
        <v>0</v>
      </c>
      <c r="HV88" s="45" t="s">
        <v>28</v>
      </c>
      <c r="HW88" s="65">
        <f t="shared" si="117"/>
        <v>0</v>
      </c>
      <c r="HX88" s="106">
        <f t="shared" si="118"/>
        <v>0</v>
      </c>
      <c r="HY88" s="45"/>
      <c r="HZ88" s="43"/>
      <c r="IA88" s="70"/>
      <c r="IB88" s="112" t="s">
        <v>760</v>
      </c>
      <c r="IC88" s="100"/>
      <c r="ID88" s="100"/>
      <c r="IE88" s="71"/>
      <c r="IF88" s="338">
        <f>(IE86+IE87)</f>
        <v>10</v>
      </c>
      <c r="IG88" s="158" t="s">
        <v>513</v>
      </c>
      <c r="IH88" s="45" t="s">
        <v>28</v>
      </c>
      <c r="II88" s="65"/>
      <c r="IJ88" s="106"/>
      <c r="IK88" s="94"/>
      <c r="IL88" s="11">
        <f t="shared" si="106"/>
        <v>0</v>
      </c>
      <c r="IM88" s="13">
        <f t="shared" si="107"/>
        <v>0</v>
      </c>
      <c r="IN88" s="13">
        <f t="shared" si="108"/>
        <v>0</v>
      </c>
      <c r="IO88" s="13">
        <f t="shared" si="109"/>
        <v>0</v>
      </c>
      <c r="IP88" s="13">
        <f t="shared" si="121"/>
        <v>756</v>
      </c>
      <c r="IQ88" s="4"/>
      <c r="IR88" s="4"/>
      <c r="IS88" s="6" t="s">
        <v>28</v>
      </c>
      <c r="IT88" s="4"/>
      <c r="IU88" s="4"/>
      <c r="IV88" s="4"/>
    </row>
    <row r="89" spans="1:256" ht="12.75">
      <c r="A89" s="210"/>
      <c r="B89" s="204"/>
      <c r="C89" s="245"/>
      <c r="D89" s="165" t="s">
        <v>761</v>
      </c>
      <c r="E89" s="165" t="s">
        <v>762</v>
      </c>
      <c r="F89" s="104"/>
      <c r="G89" s="104"/>
      <c r="H89" s="104"/>
      <c r="I89" s="104"/>
      <c r="J89" s="104"/>
      <c r="K89" s="104"/>
      <c r="L89" s="104"/>
      <c r="M89" s="228"/>
      <c r="N89" s="228"/>
      <c r="O89" s="229">
        <f>Y37</f>
        <v>7525.8060000000005</v>
      </c>
      <c r="P89" s="207"/>
      <c r="Q89" s="208"/>
      <c r="R89" s="209"/>
      <c r="S89" s="35"/>
      <c r="T89" t="s">
        <v>763</v>
      </c>
      <c r="W89" s="43"/>
      <c r="X89" s="36">
        <v>0</v>
      </c>
      <c r="Y89" s="473"/>
      <c r="Z89" s="63">
        <f t="shared" si="120"/>
        <v>0</v>
      </c>
      <c r="AA89" s="6"/>
      <c r="AB89" s="4"/>
      <c r="AC89" s="4"/>
      <c r="AD89" s="4"/>
      <c r="AE89" s="4"/>
      <c r="AF89" s="4"/>
      <c r="AG89" s="4"/>
      <c r="AH89" s="4"/>
      <c r="AI89" s="4"/>
      <c r="AJ89" s="43"/>
      <c r="AK89" s="4"/>
      <c r="AL89" s="43"/>
      <c r="AM89" s="43"/>
      <c r="AN89" s="6"/>
      <c r="AO89" s="4"/>
      <c r="AP89" s="12"/>
      <c r="AQ89" s="4"/>
      <c r="AR89" s="4"/>
      <c r="AS89" s="4"/>
      <c r="AT89" s="4"/>
      <c r="AU89" s="12"/>
      <c r="AV89" s="4"/>
      <c r="AW89" s="45"/>
      <c r="AX89" s="4"/>
      <c r="AY89" s="4"/>
      <c r="AZ89" s="4"/>
      <c r="BA89" s="4"/>
      <c r="BB89" s="4"/>
      <c r="BC89" s="11">
        <f t="shared" si="119"/>
        <v>0</v>
      </c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3"/>
      <c r="EU89" s="43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13">
        <f t="shared" si="112"/>
        <v>0</v>
      </c>
      <c r="GL89" s="4"/>
      <c r="GM89" s="4"/>
      <c r="GN89" s="4"/>
      <c r="GO89" s="6"/>
      <c r="GP89" s="112" t="s">
        <v>764</v>
      </c>
      <c r="GQ89" s="100"/>
      <c r="GR89" s="58">
        <v>3</v>
      </c>
      <c r="GS89" s="71"/>
      <c r="GT89" s="71"/>
      <c r="GU89" s="71"/>
      <c r="GV89" s="45" t="s">
        <v>28</v>
      </c>
      <c r="GW89" s="65">
        <f t="shared" si="113"/>
        <v>0</v>
      </c>
      <c r="GX89" s="80">
        <f t="shared" si="114"/>
        <v>0</v>
      </c>
      <c r="GY89" s="6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13">
        <f t="shared" si="115"/>
        <v>0</v>
      </c>
      <c r="HL89" s="4"/>
      <c r="HM89" s="4"/>
      <c r="HN89" s="4"/>
      <c r="HO89" s="70"/>
      <c r="HP89" s="43"/>
      <c r="HQ89" s="43"/>
      <c r="HR89" s="161">
        <f t="shared" si="116"/>
        <v>0</v>
      </c>
      <c r="HS89" s="161">
        <f t="shared" si="116"/>
        <v>0</v>
      </c>
      <c r="HT89" s="161">
        <f t="shared" si="116"/>
        <v>0</v>
      </c>
      <c r="HU89" s="161">
        <f t="shared" si="116"/>
        <v>0</v>
      </c>
      <c r="HV89" s="45" t="s">
        <v>28</v>
      </c>
      <c r="HW89" s="65">
        <f t="shared" si="117"/>
        <v>0</v>
      </c>
      <c r="HX89" s="106">
        <f t="shared" si="118"/>
        <v>0</v>
      </c>
      <c r="HY89" s="45"/>
      <c r="HZ89" s="43"/>
      <c r="IA89" s="70"/>
      <c r="IB89" s="112" t="s">
        <v>724</v>
      </c>
      <c r="IC89" s="100"/>
      <c r="ID89" s="100"/>
      <c r="IE89" s="71"/>
      <c r="IF89" s="338">
        <f>(IE86*IF86+IE87*IF86)</f>
        <v>3250</v>
      </c>
      <c r="IG89" s="158" t="s">
        <v>513</v>
      </c>
      <c r="IH89" s="45" t="s">
        <v>28</v>
      </c>
      <c r="II89" s="65"/>
      <c r="IJ89" s="106"/>
      <c r="IK89" s="94"/>
      <c r="IL89" s="11">
        <f t="shared" si="106"/>
        <v>460</v>
      </c>
      <c r="IM89" s="13">
        <f t="shared" si="107"/>
        <v>0</v>
      </c>
      <c r="IN89" s="13">
        <f t="shared" si="108"/>
        <v>0</v>
      </c>
      <c r="IO89" s="13">
        <f t="shared" si="109"/>
        <v>0</v>
      </c>
      <c r="IP89" s="13">
        <f t="shared" si="121"/>
        <v>0</v>
      </c>
      <c r="IQ89" s="4"/>
      <c r="IR89" s="4"/>
      <c r="IS89" s="6" t="s">
        <v>28</v>
      </c>
      <c r="IT89" s="4"/>
      <c r="IU89" s="4"/>
      <c r="IV89" s="4"/>
    </row>
    <row r="90" spans="1:256" ht="13.5" thickBot="1">
      <c r="A90" s="210"/>
      <c r="B90" s="204"/>
      <c r="C90" s="245"/>
      <c r="D90" s="104"/>
      <c r="E90" s="104"/>
      <c r="F90" s="104"/>
      <c r="G90" s="104"/>
      <c r="H90" s="104"/>
      <c r="I90" s="104"/>
      <c r="J90" s="104"/>
      <c r="K90" s="104"/>
      <c r="L90" s="104"/>
      <c r="M90" s="228"/>
      <c r="N90" s="228"/>
      <c r="O90" s="229"/>
      <c r="P90" s="207"/>
      <c r="Q90" s="208"/>
      <c r="R90" s="209"/>
      <c r="S90" s="35"/>
      <c r="T90" s="43"/>
      <c r="U90" s="43"/>
      <c r="V90" s="43"/>
      <c r="W90" s="43"/>
      <c r="X90" s="36"/>
      <c r="Y90" s="43"/>
      <c r="Z90" s="46"/>
      <c r="AA90" s="6"/>
      <c r="AB90" s="4"/>
      <c r="AC90" s="4"/>
      <c r="AD90" s="4"/>
      <c r="AE90" s="4"/>
      <c r="AF90" s="4"/>
      <c r="AG90" s="4"/>
      <c r="AH90" s="4"/>
      <c r="AI90" s="4"/>
      <c r="AJ90" s="43"/>
      <c r="AK90" s="4"/>
      <c r="AL90" s="43"/>
      <c r="AM90" s="43"/>
      <c r="AN90" s="6"/>
      <c r="AO90" s="4"/>
      <c r="AP90" s="4"/>
      <c r="AQ90" s="4"/>
      <c r="AR90" s="4"/>
      <c r="AS90" s="4"/>
      <c r="AT90" s="4"/>
      <c r="AU90" s="4"/>
      <c r="AV90" s="4"/>
      <c r="AW90" s="45"/>
      <c r="AX90" s="4"/>
      <c r="AY90" s="4"/>
      <c r="AZ90" s="4"/>
      <c r="BA90" s="4"/>
      <c r="BB90" s="4"/>
      <c r="BC90" s="11">
        <f t="shared" si="119"/>
        <v>0</v>
      </c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3"/>
      <c r="EU90" s="43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13">
        <f t="shared" si="112"/>
        <v>0</v>
      </c>
      <c r="GL90" s="4"/>
      <c r="GM90" s="4"/>
      <c r="GN90" s="4"/>
      <c r="GO90" s="6"/>
      <c r="GP90" s="112" t="s">
        <v>765</v>
      </c>
      <c r="GQ90" s="100"/>
      <c r="GR90" s="58">
        <v>0</v>
      </c>
      <c r="GS90" s="71"/>
      <c r="GT90" s="71"/>
      <c r="GU90" s="71"/>
      <c r="GV90" s="45" t="s">
        <v>28</v>
      </c>
      <c r="GW90" s="65">
        <f t="shared" si="113"/>
        <v>0</v>
      </c>
      <c r="GX90" s="80">
        <f t="shared" si="114"/>
        <v>0</v>
      </c>
      <c r="GY90" s="6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13">
        <f t="shared" si="115"/>
        <v>0</v>
      </c>
      <c r="HL90" s="4"/>
      <c r="HM90" s="4"/>
      <c r="HN90" s="4"/>
      <c r="HO90" s="70"/>
      <c r="HP90" s="43"/>
      <c r="HQ90" s="43"/>
      <c r="HR90" s="161">
        <f t="shared" si="116"/>
        <v>0</v>
      </c>
      <c r="HS90" s="161">
        <f t="shared" si="116"/>
        <v>0</v>
      </c>
      <c r="HT90" s="161">
        <f t="shared" si="116"/>
        <v>0</v>
      </c>
      <c r="HU90" s="161">
        <f t="shared" si="116"/>
        <v>0</v>
      </c>
      <c r="HV90" s="45" t="s">
        <v>28</v>
      </c>
      <c r="HW90" s="65">
        <f t="shared" si="117"/>
        <v>0</v>
      </c>
      <c r="HX90" s="106">
        <f t="shared" si="118"/>
        <v>0</v>
      </c>
      <c r="HY90" s="45"/>
      <c r="HZ90" s="43"/>
      <c r="IA90" s="70"/>
      <c r="IB90" s="59"/>
      <c r="IC90" s="43"/>
      <c r="ID90" s="43"/>
      <c r="IE90" s="71"/>
      <c r="IF90" s="71"/>
      <c r="IG90" s="141"/>
      <c r="IH90" s="45" t="s">
        <v>28</v>
      </c>
      <c r="II90" s="65"/>
      <c r="IJ90" s="106"/>
      <c r="IK90" s="94"/>
      <c r="IL90" s="11">
        <f t="shared" si="106"/>
        <v>0</v>
      </c>
      <c r="IM90" s="13">
        <f t="shared" si="107"/>
        <v>0</v>
      </c>
      <c r="IN90" s="13">
        <f t="shared" si="108"/>
        <v>0</v>
      </c>
      <c r="IO90" s="13">
        <f t="shared" si="109"/>
        <v>0</v>
      </c>
      <c r="IP90" s="13">
        <f t="shared" si="121"/>
        <v>0</v>
      </c>
      <c r="IQ90" s="4"/>
      <c r="IR90" s="4"/>
      <c r="IS90" s="6" t="s">
        <v>28</v>
      </c>
      <c r="IT90" s="4"/>
      <c r="IU90" s="4"/>
      <c r="IV90" s="4"/>
    </row>
    <row r="91" spans="1:256" ht="13.5" thickBot="1">
      <c r="A91" s="210"/>
      <c r="B91" s="204"/>
      <c r="C91" s="245"/>
      <c r="D91" s="165" t="s">
        <v>766</v>
      </c>
      <c r="E91" s="165" t="s">
        <v>767</v>
      </c>
      <c r="F91" s="104"/>
      <c r="G91" s="104"/>
      <c r="H91" s="104"/>
      <c r="I91" s="104"/>
      <c r="J91" s="104"/>
      <c r="K91" s="104"/>
      <c r="L91" s="104"/>
      <c r="M91" s="228"/>
      <c r="N91" s="228"/>
      <c r="O91" s="229">
        <f>(Y9+Y10+Y11)</f>
        <v>0</v>
      </c>
      <c r="P91" s="207"/>
      <c r="Q91" s="229"/>
      <c r="R91" s="220"/>
      <c r="S91" s="182" t="s">
        <v>768</v>
      </c>
      <c r="T91" s="47" t="s">
        <v>769</v>
      </c>
      <c r="U91" s="43"/>
      <c r="V91" s="43"/>
      <c r="W91" s="43"/>
      <c r="X91" s="37">
        <f>IF(X85&lt;=0,(X81*0.1+X111*0.1),(X81*0.1+X85*0.1))</f>
        <v>0</v>
      </c>
      <c r="Y91" s="300">
        <f>SUM(Y92:Y93)</f>
        <v>3230</v>
      </c>
      <c r="Z91" s="63">
        <f>IF((X91)=0,0,(Y91-X91)/X91)</f>
        <v>0</v>
      </c>
      <c r="AA91" s="4"/>
      <c r="AB91" s="4"/>
      <c r="AC91" s="4"/>
      <c r="AD91" s="4"/>
      <c r="AE91" s="4"/>
      <c r="AF91" s="4"/>
      <c r="AG91" s="4"/>
      <c r="AH91" s="4"/>
      <c r="AI91" s="4"/>
      <c r="AJ91" s="43"/>
      <c r="AK91" s="4"/>
      <c r="AL91" s="43"/>
      <c r="AM91" s="43"/>
      <c r="AN91" s="6"/>
      <c r="AO91" s="4"/>
      <c r="AP91" s="4"/>
      <c r="AQ91" s="4"/>
      <c r="AR91" s="4"/>
      <c r="AS91" s="4"/>
      <c r="AT91" s="4"/>
      <c r="AU91" s="4"/>
      <c r="AV91" s="4"/>
      <c r="AW91" s="45"/>
      <c r="AX91" s="4"/>
      <c r="AY91" s="4"/>
      <c r="AZ91" s="4"/>
      <c r="BA91" s="4"/>
      <c r="BB91" s="4"/>
      <c r="BC91" s="11">
        <f t="shared" si="119"/>
        <v>0</v>
      </c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3"/>
      <c r="EU91" s="43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13">
        <f t="shared" si="112"/>
        <v>0</v>
      </c>
      <c r="GL91" s="4"/>
      <c r="GM91" s="4"/>
      <c r="GN91" s="4"/>
      <c r="GO91" s="6"/>
      <c r="GP91" s="112" t="s">
        <v>770</v>
      </c>
      <c r="GQ91" s="100"/>
      <c r="GR91" s="58">
        <v>0</v>
      </c>
      <c r="GS91" s="71"/>
      <c r="GT91" s="71"/>
      <c r="GU91" s="71"/>
      <c r="GV91" s="45" t="s">
        <v>28</v>
      </c>
      <c r="GW91" s="65">
        <f t="shared" si="113"/>
        <v>0</v>
      </c>
      <c r="GX91" s="80">
        <f t="shared" si="114"/>
        <v>0</v>
      </c>
      <c r="GY91" s="6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13">
        <f t="shared" si="115"/>
        <v>0</v>
      </c>
      <c r="HL91" s="4"/>
      <c r="HM91" s="4"/>
      <c r="HN91" s="4"/>
      <c r="HO91" s="70"/>
      <c r="HP91" s="43"/>
      <c r="HQ91" s="43"/>
      <c r="HR91" s="161">
        <f t="shared" si="116"/>
        <v>0</v>
      </c>
      <c r="HS91" s="161">
        <f t="shared" si="116"/>
        <v>0</v>
      </c>
      <c r="HT91" s="161">
        <f t="shared" si="116"/>
        <v>0</v>
      </c>
      <c r="HU91" s="161">
        <f t="shared" si="116"/>
        <v>0</v>
      </c>
      <c r="HV91" s="45" t="s">
        <v>28</v>
      </c>
      <c r="HW91" s="65">
        <f t="shared" si="117"/>
        <v>0</v>
      </c>
      <c r="HX91" s="106">
        <f t="shared" si="118"/>
        <v>0</v>
      </c>
      <c r="HY91" s="45"/>
      <c r="HZ91" s="43"/>
      <c r="IA91" s="70"/>
      <c r="IB91" s="38" t="s">
        <v>771</v>
      </c>
      <c r="IC91" s="43"/>
      <c r="ID91" s="43"/>
      <c r="IE91" s="71"/>
      <c r="IF91" s="71"/>
      <c r="IG91" s="141"/>
      <c r="IH91" s="45" t="s">
        <v>28</v>
      </c>
      <c r="II91" s="65"/>
      <c r="IJ91" s="106"/>
      <c r="IK91" s="94"/>
      <c r="IL91" s="11">
        <f t="shared" si="106"/>
        <v>0</v>
      </c>
      <c r="IM91" s="13">
        <f t="shared" si="107"/>
        <v>0</v>
      </c>
      <c r="IN91" s="13">
        <f t="shared" si="108"/>
        <v>0</v>
      </c>
      <c r="IO91" s="13">
        <f t="shared" si="109"/>
        <v>0</v>
      </c>
      <c r="IP91" s="13">
        <f t="shared" si="121"/>
        <v>0</v>
      </c>
      <c r="IQ91" s="4"/>
      <c r="IR91" s="4"/>
      <c r="IS91" s="6" t="s">
        <v>28</v>
      </c>
      <c r="IT91" s="4"/>
      <c r="IU91" s="4"/>
      <c r="IV91" s="4"/>
    </row>
    <row r="92" spans="1:256" ht="12.75">
      <c r="A92" s="210"/>
      <c r="B92" s="204"/>
      <c r="C92" s="245"/>
      <c r="D92" s="104"/>
      <c r="E92" s="104"/>
      <c r="F92" s="104"/>
      <c r="G92" s="104"/>
      <c r="H92" s="104"/>
      <c r="I92" s="104"/>
      <c r="J92" s="104"/>
      <c r="K92" s="104"/>
      <c r="L92" s="104"/>
      <c r="M92" s="228"/>
      <c r="N92" s="228"/>
      <c r="O92" s="229"/>
      <c r="P92" s="207"/>
      <c r="Q92" s="208"/>
      <c r="R92" s="209"/>
      <c r="S92" s="35"/>
      <c r="T92" s="44" t="s">
        <v>359</v>
      </c>
      <c r="U92" s="43"/>
      <c r="V92" s="43"/>
      <c r="W92" s="43"/>
      <c r="X92" s="37">
        <v>0</v>
      </c>
      <c r="Y92" s="473">
        <f>Y45</f>
        <v>2230</v>
      </c>
      <c r="Z92" s="63">
        <f>IF((X92)=0,0,(Y92-X92)/X92)</f>
        <v>0</v>
      </c>
      <c r="AA92" s="6"/>
      <c r="AB92" s="4"/>
      <c r="AC92" s="4"/>
      <c r="AD92" s="4"/>
      <c r="AE92" s="4"/>
      <c r="AF92" s="4"/>
      <c r="AG92" s="4"/>
      <c r="AH92" s="4"/>
      <c r="AI92" s="4"/>
      <c r="AJ92" s="43"/>
      <c r="AK92" s="4"/>
      <c r="AL92" s="43"/>
      <c r="AM92" s="43"/>
      <c r="AN92" s="6"/>
      <c r="AO92" s="4"/>
      <c r="AP92" s="4"/>
      <c r="AQ92" s="4"/>
      <c r="AR92" s="4"/>
      <c r="AS92" s="4"/>
      <c r="AT92" s="4"/>
      <c r="AU92" s="4"/>
      <c r="AV92" s="4"/>
      <c r="AW92" s="45"/>
      <c r="AX92" s="4"/>
      <c r="AY92" s="4"/>
      <c r="AZ92" s="4"/>
      <c r="BA92" s="4"/>
      <c r="BB92" s="4"/>
      <c r="BC92" s="11">
        <f t="shared" si="119"/>
        <v>0</v>
      </c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3"/>
      <c r="EU92" s="43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13">
        <f t="shared" si="112"/>
        <v>0</v>
      </c>
      <c r="GL92" s="4"/>
      <c r="GM92" s="4"/>
      <c r="GN92" s="4"/>
      <c r="GO92" s="6"/>
      <c r="GP92" s="112" t="s">
        <v>772</v>
      </c>
      <c r="GQ92" s="100"/>
      <c r="GR92" s="58">
        <v>0</v>
      </c>
      <c r="GS92" s="71"/>
      <c r="GT92" s="71"/>
      <c r="GU92" s="71"/>
      <c r="GV92" s="45" t="s">
        <v>28</v>
      </c>
      <c r="GW92" s="65">
        <f t="shared" si="113"/>
        <v>0</v>
      </c>
      <c r="GX92" s="80">
        <f t="shared" si="114"/>
        <v>0</v>
      </c>
      <c r="GY92" s="6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13">
        <f t="shared" si="115"/>
        <v>0</v>
      </c>
      <c r="HL92" s="4"/>
      <c r="HM92" s="4"/>
      <c r="HN92" s="4"/>
      <c r="HO92" s="70"/>
      <c r="HP92" s="43"/>
      <c r="HQ92" s="43"/>
      <c r="HR92" s="161">
        <f t="shared" si="116"/>
        <v>0</v>
      </c>
      <c r="HS92" s="161">
        <f t="shared" si="116"/>
        <v>0</v>
      </c>
      <c r="HT92" s="161">
        <f t="shared" si="116"/>
        <v>0</v>
      </c>
      <c r="HU92" s="161">
        <f t="shared" si="116"/>
        <v>0</v>
      </c>
      <c r="HV92" s="45" t="s">
        <v>28</v>
      </c>
      <c r="HW92" s="65">
        <f t="shared" si="117"/>
        <v>0</v>
      </c>
      <c r="HX92" s="106">
        <f t="shared" si="118"/>
        <v>0</v>
      </c>
      <c r="HY92" s="45"/>
      <c r="HZ92" s="43"/>
      <c r="IA92" s="70"/>
      <c r="IB92" s="112" t="s">
        <v>773</v>
      </c>
      <c r="IC92" s="100"/>
      <c r="ID92" s="100"/>
      <c r="IE92" s="71">
        <v>1</v>
      </c>
      <c r="IF92" s="338">
        <f>(IE73+IE74)</f>
        <v>365</v>
      </c>
      <c r="IG92" s="141">
        <f>($BD$2)/1000</f>
        <v>0.2</v>
      </c>
      <c r="IH92" s="45" t="s">
        <v>28</v>
      </c>
      <c r="II92" s="65">
        <f>(IE92*IF92*IG92)</f>
        <v>73</v>
      </c>
      <c r="IJ92" s="106">
        <f>(II92/$BF$2)*1000</f>
        <v>365</v>
      </c>
      <c r="IK92" s="94"/>
      <c r="IL92" s="11">
        <f t="shared" si="106"/>
        <v>0</v>
      </c>
      <c r="IM92" s="13">
        <f t="shared" si="107"/>
        <v>0</v>
      </c>
      <c r="IN92" s="13">
        <f t="shared" si="108"/>
        <v>0</v>
      </c>
      <c r="IO92" s="13">
        <f t="shared" si="109"/>
        <v>187.5</v>
      </c>
      <c r="IP92" s="13">
        <f t="shared" si="121"/>
        <v>0</v>
      </c>
      <c r="IQ92" s="4"/>
      <c r="IR92" s="4"/>
      <c r="IS92" s="6" t="s">
        <v>28</v>
      </c>
      <c r="IT92" s="4"/>
      <c r="IU92" s="4"/>
      <c r="IV92" s="4"/>
    </row>
    <row r="93" spans="1:256" ht="12.75">
      <c r="A93" s="210"/>
      <c r="B93" s="204"/>
      <c r="C93" s="245"/>
      <c r="D93" s="165" t="s">
        <v>774</v>
      </c>
      <c r="E93" s="165" t="s">
        <v>775</v>
      </c>
      <c r="F93" s="104"/>
      <c r="G93" s="104"/>
      <c r="H93" s="104"/>
      <c r="I93" s="104"/>
      <c r="J93" s="104"/>
      <c r="K93" s="104"/>
      <c r="L93" s="104"/>
      <c r="M93" s="228"/>
      <c r="N93" s="228"/>
      <c r="O93" s="229">
        <f>Y107</f>
        <v>26184.082097279996</v>
      </c>
      <c r="P93" s="207"/>
      <c r="Q93" s="208"/>
      <c r="R93" s="209"/>
      <c r="S93" s="35"/>
      <c r="T93" s="44" t="s">
        <v>776</v>
      </c>
      <c r="U93" s="43"/>
      <c r="V93" s="43"/>
      <c r="W93" s="43"/>
      <c r="X93" s="37">
        <f>IF(X87&lt;=0,(X83*0.1+X112*0.1),(X83*0.1+X87*0.1))</f>
        <v>0</v>
      </c>
      <c r="Y93" s="473">
        <f>Y46</f>
        <v>1000</v>
      </c>
      <c r="Z93" s="63">
        <f>IF((X93)=0,0,(Y93-X93)/X93)</f>
        <v>0</v>
      </c>
      <c r="AA93" s="6"/>
      <c r="AB93" s="4"/>
      <c r="AC93" s="4"/>
      <c r="AD93" s="4"/>
      <c r="AE93" s="4"/>
      <c r="AF93" s="4"/>
      <c r="AG93" s="4"/>
      <c r="AH93" s="4"/>
      <c r="AI93" s="4"/>
      <c r="AJ93" s="43"/>
      <c r="AK93" s="4"/>
      <c r="AL93" s="43"/>
      <c r="AM93" s="43"/>
      <c r="AN93" s="6"/>
      <c r="AO93" s="4"/>
      <c r="AP93" s="4"/>
      <c r="AQ93" s="4"/>
      <c r="AR93" s="4"/>
      <c r="AS93" s="4"/>
      <c r="AT93" s="4"/>
      <c r="AU93" s="12"/>
      <c r="AV93" s="4"/>
      <c r="AW93" s="45"/>
      <c r="AX93" s="4"/>
      <c r="AY93" s="4"/>
      <c r="AZ93" s="4"/>
      <c r="BA93" s="4"/>
      <c r="BB93" s="4"/>
      <c r="BC93" s="11">
        <f t="shared" si="119"/>
        <v>0</v>
      </c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3"/>
      <c r="EU93" s="43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13">
        <f t="shared" si="112"/>
        <v>0</v>
      </c>
      <c r="GL93" s="4"/>
      <c r="GM93" s="4"/>
      <c r="GN93" s="4"/>
      <c r="GO93" s="6"/>
      <c r="GP93" s="112" t="s">
        <v>777</v>
      </c>
      <c r="GQ93" s="100"/>
      <c r="GR93" s="58">
        <v>0</v>
      </c>
      <c r="GS93" s="71"/>
      <c r="GT93" s="71"/>
      <c r="GU93" s="71"/>
      <c r="GV93" s="45" t="s">
        <v>28</v>
      </c>
      <c r="GW93" s="65">
        <f t="shared" si="113"/>
        <v>0</v>
      </c>
      <c r="GX93" s="80">
        <f t="shared" si="114"/>
        <v>0</v>
      </c>
      <c r="GY93" s="6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13">
        <f t="shared" si="115"/>
        <v>0</v>
      </c>
      <c r="HL93" s="4"/>
      <c r="HM93" s="4"/>
      <c r="HN93" s="4"/>
      <c r="HO93" s="70"/>
      <c r="HP93" s="43"/>
      <c r="HQ93" s="43"/>
      <c r="HR93" s="161">
        <f t="shared" si="116"/>
        <v>0</v>
      </c>
      <c r="HS93" s="161">
        <f t="shared" si="116"/>
        <v>0</v>
      </c>
      <c r="HT93" s="161">
        <f t="shared" si="116"/>
        <v>0</v>
      </c>
      <c r="HU93" s="161">
        <f t="shared" si="116"/>
        <v>0</v>
      </c>
      <c r="HV93" s="45" t="s">
        <v>28</v>
      </c>
      <c r="HW93" s="65">
        <f t="shared" si="117"/>
        <v>0</v>
      </c>
      <c r="HX93" s="106">
        <f t="shared" si="118"/>
        <v>0</v>
      </c>
      <c r="HY93" s="45"/>
      <c r="HZ93" s="43"/>
      <c r="IA93" s="70"/>
      <c r="IB93" s="112" t="s">
        <v>724</v>
      </c>
      <c r="IC93" s="100"/>
      <c r="ID93" s="100"/>
      <c r="IE93" s="71"/>
      <c r="IF93" s="338">
        <f>(IE92*IF92)</f>
        <v>365</v>
      </c>
      <c r="IG93" s="158" t="s">
        <v>513</v>
      </c>
      <c r="IH93" s="45" t="s">
        <v>28</v>
      </c>
      <c r="II93" s="65"/>
      <c r="IJ93" s="106"/>
      <c r="IK93" s="94"/>
      <c r="IL93" s="11">
        <f t="shared" si="106"/>
        <v>0</v>
      </c>
      <c r="IM93" s="13">
        <f t="shared" si="107"/>
        <v>0</v>
      </c>
      <c r="IN93" s="13">
        <f t="shared" si="108"/>
        <v>0</v>
      </c>
      <c r="IO93" s="13">
        <f t="shared" si="109"/>
        <v>0</v>
      </c>
      <c r="IP93" s="13">
        <f t="shared" si="121"/>
        <v>0</v>
      </c>
      <c r="IQ93" s="4"/>
      <c r="IR93" s="4"/>
      <c r="IS93" s="6" t="s">
        <v>28</v>
      </c>
      <c r="IT93" s="4"/>
      <c r="IU93" s="4"/>
      <c r="IV93" s="4"/>
    </row>
    <row r="94" spans="1:256" ht="12.75">
      <c r="A94" s="210"/>
      <c r="B94" s="204"/>
      <c r="C94" s="245"/>
      <c r="D94" s="104"/>
      <c r="E94" s="104"/>
      <c r="F94" s="104"/>
      <c r="G94" s="104"/>
      <c r="H94" s="104"/>
      <c r="I94" s="104"/>
      <c r="J94" s="104"/>
      <c r="K94" s="104"/>
      <c r="L94" s="104"/>
      <c r="M94" s="228"/>
      <c r="N94" s="228"/>
      <c r="O94" s="229"/>
      <c r="P94" s="207"/>
      <c r="Q94" s="208"/>
      <c r="R94" s="209"/>
      <c r="S94" s="35"/>
      <c r="T94" s="43"/>
      <c r="U94" s="43"/>
      <c r="V94" s="43"/>
      <c r="W94" s="43"/>
      <c r="X94" s="36"/>
      <c r="Y94" s="43"/>
      <c r="Z94" s="46"/>
      <c r="AA94" s="6"/>
      <c r="AB94" s="4"/>
      <c r="AC94" s="4"/>
      <c r="AD94" s="4"/>
      <c r="AE94" s="4"/>
      <c r="AF94" s="4"/>
      <c r="AG94" s="4"/>
      <c r="AH94" s="4"/>
      <c r="AI94" s="4"/>
      <c r="AJ94" s="43"/>
      <c r="AK94" s="4"/>
      <c r="AL94" s="43"/>
      <c r="AM94" s="43"/>
      <c r="AN94" s="6"/>
      <c r="AO94" s="4"/>
      <c r="AP94" s="4"/>
      <c r="AQ94" s="4"/>
      <c r="AR94" s="4"/>
      <c r="AS94" s="4"/>
      <c r="AT94" s="4"/>
      <c r="AU94" s="4"/>
      <c r="AV94" s="4"/>
      <c r="AW94" s="45"/>
      <c r="AX94" s="4"/>
      <c r="AY94" s="4"/>
      <c r="AZ94" s="4"/>
      <c r="BA94" s="4"/>
      <c r="BB94" s="4"/>
      <c r="BC94" s="11">
        <f t="shared" si="119"/>
        <v>0</v>
      </c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3"/>
      <c r="EU94" s="43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6"/>
      <c r="GP94" s="59"/>
      <c r="GQ94" s="43"/>
      <c r="GR94" s="43"/>
      <c r="GS94" s="71"/>
      <c r="GT94" s="44" t="s">
        <v>778</v>
      </c>
      <c r="GU94" s="71"/>
      <c r="GV94" s="45" t="s">
        <v>28</v>
      </c>
      <c r="GW94" s="65">
        <f>SUM(GW70:GW92)</f>
        <v>0</v>
      </c>
      <c r="GX94" s="80">
        <f t="shared" si="114"/>
        <v>0</v>
      </c>
      <c r="GY94" s="6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70"/>
      <c r="HP94" s="43"/>
      <c r="HQ94" s="43"/>
      <c r="HR94" s="43"/>
      <c r="HS94" s="71"/>
      <c r="HT94" s="44" t="s">
        <v>779</v>
      </c>
      <c r="HU94" s="71"/>
      <c r="HV94" s="45" t="s">
        <v>28</v>
      </c>
      <c r="HW94" s="108">
        <f>SUM(HW70:HW92)</f>
        <v>324.162</v>
      </c>
      <c r="HX94" s="107">
        <f t="shared" si="118"/>
        <v>1620.81</v>
      </c>
      <c r="HY94" s="45"/>
      <c r="HZ94" s="43"/>
      <c r="IA94" s="70"/>
      <c r="IB94" s="59"/>
      <c r="IC94" s="43"/>
      <c r="ID94" s="43"/>
      <c r="IE94" s="71"/>
      <c r="IF94" s="71"/>
      <c r="IG94" s="141"/>
      <c r="IH94" s="45" t="s">
        <v>28</v>
      </c>
      <c r="II94" s="65"/>
      <c r="IJ94" s="106"/>
      <c r="IK94" s="94"/>
      <c r="IL94" s="11">
        <f t="shared" si="106"/>
        <v>0</v>
      </c>
      <c r="IM94" s="13">
        <f t="shared" si="107"/>
        <v>0</v>
      </c>
      <c r="IN94" s="13">
        <f t="shared" si="108"/>
        <v>0</v>
      </c>
      <c r="IO94" s="13">
        <f t="shared" si="109"/>
        <v>0</v>
      </c>
      <c r="IP94" s="13">
        <f t="shared" si="121"/>
        <v>0</v>
      </c>
      <c r="IQ94" s="4"/>
      <c r="IR94" s="4"/>
      <c r="IS94" s="6" t="s">
        <v>28</v>
      </c>
      <c r="IT94" s="4"/>
      <c r="IU94" s="4"/>
      <c r="IV94" s="4"/>
    </row>
    <row r="95" spans="1:256" ht="13.5" thickBot="1">
      <c r="A95" s="210"/>
      <c r="B95" s="204"/>
      <c r="C95" s="245"/>
      <c r="D95" s="104"/>
      <c r="E95" s="104"/>
      <c r="F95" s="104"/>
      <c r="G95" s="104"/>
      <c r="H95" s="104"/>
      <c r="I95" s="104"/>
      <c r="J95" s="104"/>
      <c r="K95" s="104"/>
      <c r="L95" s="212"/>
      <c r="M95" s="228"/>
      <c r="N95" s="228"/>
      <c r="O95" s="229"/>
      <c r="P95" s="207"/>
      <c r="Q95" s="208"/>
      <c r="R95" s="209"/>
      <c r="S95" s="182">
        <v>7</v>
      </c>
      <c r="T95" s="47" t="s">
        <v>487</v>
      </c>
      <c r="U95" s="43"/>
      <c r="V95" s="43"/>
      <c r="W95" s="43"/>
      <c r="X95" s="62">
        <f>SUM(X96:X100)</f>
        <v>0</v>
      </c>
      <c r="Y95" s="496">
        <f>SUM(Y96:Y100)</f>
        <v>7525.8060000000005</v>
      </c>
      <c r="Z95" s="46"/>
      <c r="AA95" s="6"/>
      <c r="AB95" s="4"/>
      <c r="AC95" s="4"/>
      <c r="AD95" s="4"/>
      <c r="AE95" s="4"/>
      <c r="AF95" s="4"/>
      <c r="AG95" s="4"/>
      <c r="AH95" s="4"/>
      <c r="AI95" s="4"/>
      <c r="AJ95" s="43"/>
      <c r="AK95" s="4"/>
      <c r="AL95" s="43"/>
      <c r="AM95" s="43"/>
      <c r="AN95" s="6"/>
      <c r="AO95" s="4"/>
      <c r="AP95" s="4"/>
      <c r="AQ95" s="4"/>
      <c r="AR95" s="4"/>
      <c r="AS95" s="4"/>
      <c r="AT95" s="4"/>
      <c r="AU95" s="24"/>
      <c r="AV95" s="4"/>
      <c r="AW95" s="45"/>
      <c r="AX95" s="4"/>
      <c r="AY95" s="4"/>
      <c r="AZ95" s="4"/>
      <c r="BA95" s="4"/>
      <c r="BB95" s="4"/>
      <c r="BC95" s="11">
        <f t="shared" si="119"/>
        <v>0</v>
      </c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3"/>
      <c r="EU95" s="43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13">
        <f>SUM(GK71:GK93)</f>
        <v>0</v>
      </c>
      <c r="GL95" s="4"/>
      <c r="GM95" s="4"/>
      <c r="GN95" s="4"/>
      <c r="GO95" s="6"/>
      <c r="GP95" s="59"/>
      <c r="GQ95" s="43"/>
      <c r="GR95" s="43"/>
      <c r="GS95" s="43"/>
      <c r="GT95" s="148" t="s">
        <v>780</v>
      </c>
      <c r="GU95" s="43"/>
      <c r="GV95" s="45" t="s">
        <v>28</v>
      </c>
      <c r="GW95" s="62">
        <f>SUM(GW71:GW93)*12</f>
        <v>0</v>
      </c>
      <c r="GX95" s="149">
        <f t="shared" si="114"/>
        <v>0</v>
      </c>
      <c r="GY95" s="6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13">
        <f>SUM(HK71:HK93)</f>
        <v>638</v>
      </c>
      <c r="HL95" s="4"/>
      <c r="HM95" s="4"/>
      <c r="HN95" s="4"/>
      <c r="HO95" s="70"/>
      <c r="HP95" s="43"/>
      <c r="HQ95" s="43"/>
      <c r="HR95" s="43"/>
      <c r="HS95" s="43"/>
      <c r="HT95" s="148" t="s">
        <v>292</v>
      </c>
      <c r="HU95" s="43"/>
      <c r="HV95" s="45" t="s">
        <v>28</v>
      </c>
      <c r="HW95" s="171">
        <f>SUM(HW71:HW93)*13</f>
        <v>4214.106</v>
      </c>
      <c r="HX95" s="175">
        <f t="shared" si="118"/>
        <v>21070.53</v>
      </c>
      <c r="HY95" s="45"/>
      <c r="HZ95" s="43"/>
      <c r="IA95" s="70"/>
      <c r="IB95" s="59"/>
      <c r="IC95" s="43"/>
      <c r="ID95" s="43"/>
      <c r="IE95" s="71"/>
      <c r="IF95" s="71"/>
      <c r="IG95" s="141"/>
      <c r="IH95" s="45" t="s">
        <v>28</v>
      </c>
      <c r="II95" s="65"/>
      <c r="IJ95" s="106"/>
      <c r="IK95" s="94"/>
      <c r="IL95" s="11">
        <f t="shared" si="106"/>
        <v>0</v>
      </c>
      <c r="IM95" s="13">
        <f t="shared" si="107"/>
        <v>0</v>
      </c>
      <c r="IN95" s="13">
        <f t="shared" si="108"/>
        <v>0</v>
      </c>
      <c r="IO95" s="13">
        <f t="shared" si="109"/>
        <v>0</v>
      </c>
      <c r="IP95" s="13">
        <f t="shared" si="121"/>
        <v>0</v>
      </c>
      <c r="IQ95" s="4"/>
      <c r="IR95" s="4"/>
      <c r="IS95" s="6" t="s">
        <v>28</v>
      </c>
      <c r="IT95" s="4"/>
      <c r="IU95" s="4"/>
      <c r="IV95" s="4"/>
    </row>
    <row r="96" spans="1:256" ht="13.5" thickBot="1">
      <c r="A96" s="210"/>
      <c r="B96" s="204"/>
      <c r="C96" s="245"/>
      <c r="D96" s="104"/>
      <c r="E96" s="104"/>
      <c r="F96" s="165" t="s">
        <v>781</v>
      </c>
      <c r="G96" s="165"/>
      <c r="H96" s="165"/>
      <c r="I96" s="104"/>
      <c r="J96" s="104"/>
      <c r="K96" s="104"/>
      <c r="L96" s="104"/>
      <c r="M96" s="494">
        <f>SUM(O77:O89)</f>
        <v>106398.26599999999</v>
      </c>
      <c r="N96" s="228"/>
      <c r="O96" s="229"/>
      <c r="P96" s="207"/>
      <c r="Q96" s="208"/>
      <c r="R96" s="209"/>
      <c r="S96" s="35"/>
      <c r="T96" s="44" t="s">
        <v>499</v>
      </c>
      <c r="U96" s="43"/>
      <c r="V96" s="43"/>
      <c r="W96" s="43"/>
      <c r="X96" s="62">
        <v>0</v>
      </c>
      <c r="Y96" s="473">
        <f>Y38</f>
        <v>3900</v>
      </c>
      <c r="Z96" s="63">
        <f aca="true" t="shared" si="122" ref="Z96:Z101">IF((X95)=0,0,(Y95-X95)/X95)</f>
        <v>0</v>
      </c>
      <c r="AA96" s="6"/>
      <c r="AB96" s="4"/>
      <c r="AC96" s="4"/>
      <c r="AD96" s="4"/>
      <c r="AE96" s="4"/>
      <c r="AF96" s="4"/>
      <c r="AG96" s="4"/>
      <c r="AH96" s="4"/>
      <c r="AI96" s="4"/>
      <c r="AJ96" s="43"/>
      <c r="AK96" s="4"/>
      <c r="AL96" s="43"/>
      <c r="AM96" s="43"/>
      <c r="AN96" s="6"/>
      <c r="AO96" s="4"/>
      <c r="AP96" s="4"/>
      <c r="AQ96" s="4"/>
      <c r="AR96" s="4"/>
      <c r="AS96" s="4"/>
      <c r="AT96" s="4"/>
      <c r="AU96" s="24"/>
      <c r="AV96" s="4"/>
      <c r="AW96" s="45"/>
      <c r="AX96" s="4"/>
      <c r="AY96" s="4"/>
      <c r="AZ96" s="4"/>
      <c r="BA96" s="4"/>
      <c r="BB96" s="4"/>
      <c r="BC96" s="11">
        <f t="shared" si="119"/>
        <v>3774.02809728</v>
      </c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3"/>
      <c r="EU96" s="43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6"/>
      <c r="GP96" s="59"/>
      <c r="GQ96" s="43"/>
      <c r="GR96" s="43"/>
      <c r="GS96" s="71"/>
      <c r="GT96" s="65">
        <v>0</v>
      </c>
      <c r="GU96" s="71"/>
      <c r="GV96" s="45" t="s">
        <v>28</v>
      </c>
      <c r="GW96" s="65">
        <f>(GT96)</f>
        <v>0</v>
      </c>
      <c r="GX96" s="80">
        <f>(GW96/$BF$2)*1000</f>
        <v>0</v>
      </c>
      <c r="GY96" s="6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70"/>
      <c r="HP96" s="100"/>
      <c r="HQ96" s="100"/>
      <c r="HR96" s="43"/>
      <c r="HS96" s="71"/>
      <c r="HT96" s="65">
        <v>0</v>
      </c>
      <c r="HU96" s="71"/>
      <c r="HV96" s="45" t="s">
        <v>28</v>
      </c>
      <c r="HW96" s="65">
        <f>(HT96)</f>
        <v>0</v>
      </c>
      <c r="HX96" s="106">
        <f>(HW96/$BF$2)*1000</f>
        <v>0</v>
      </c>
      <c r="HY96" s="45"/>
      <c r="HZ96" s="43"/>
      <c r="IA96" s="70"/>
      <c r="IB96" s="59"/>
      <c r="IC96" s="44" t="s">
        <v>782</v>
      </c>
      <c r="ID96" s="43"/>
      <c r="IE96" s="71"/>
      <c r="IF96" s="338">
        <f>(IF27+IF83+IF89+IF93+IF77)</f>
        <v>10116</v>
      </c>
      <c r="IG96" s="158" t="s">
        <v>513</v>
      </c>
      <c r="IH96" s="45" t="s">
        <v>28</v>
      </c>
      <c r="II96" s="65"/>
      <c r="IJ96" s="106"/>
      <c r="IK96" s="94"/>
      <c r="IL96" s="11">
        <f t="shared" si="106"/>
        <v>0</v>
      </c>
      <c r="IM96" s="13">
        <f t="shared" si="107"/>
        <v>0</v>
      </c>
      <c r="IN96" s="13">
        <f t="shared" si="108"/>
        <v>0</v>
      </c>
      <c r="IO96" s="13">
        <f t="shared" si="109"/>
        <v>0</v>
      </c>
      <c r="IP96" s="13">
        <f t="shared" si="121"/>
        <v>0</v>
      </c>
      <c r="IQ96" s="4"/>
      <c r="IR96" s="4"/>
      <c r="IS96" s="6" t="s">
        <v>28</v>
      </c>
      <c r="IT96" s="4"/>
      <c r="IU96" s="4"/>
      <c r="IV96" s="4"/>
    </row>
    <row r="97" spans="1:256" ht="13.5" thickBot="1">
      <c r="A97" s="210"/>
      <c r="B97" s="204"/>
      <c r="C97" s="245"/>
      <c r="D97" s="104"/>
      <c r="E97" s="104"/>
      <c r="F97" s="104"/>
      <c r="G97" s="104"/>
      <c r="H97" s="104"/>
      <c r="I97" s="104"/>
      <c r="J97" s="104"/>
      <c r="K97" s="104"/>
      <c r="L97" s="104"/>
      <c r="M97" s="228"/>
      <c r="N97" s="228"/>
      <c r="O97" s="229"/>
      <c r="P97" s="207"/>
      <c r="Q97" s="208"/>
      <c r="R97" s="209"/>
      <c r="S97" s="35"/>
      <c r="T97" s="44" t="s">
        <v>509</v>
      </c>
      <c r="U97" s="43"/>
      <c r="V97" s="43"/>
      <c r="W97" s="43"/>
      <c r="X97" s="62">
        <v>0</v>
      </c>
      <c r="Y97" s="473">
        <f>Y39</f>
        <v>2425.806</v>
      </c>
      <c r="Z97" s="63">
        <f t="shared" si="122"/>
        <v>0</v>
      </c>
      <c r="AA97" s="6"/>
      <c r="AB97" s="4"/>
      <c r="AC97" s="4"/>
      <c r="AD97" s="4"/>
      <c r="AE97" s="4"/>
      <c r="AF97" s="4"/>
      <c r="AG97" s="4"/>
      <c r="AH97" s="4"/>
      <c r="AI97" s="4"/>
      <c r="AJ97" s="43"/>
      <c r="AK97" s="4"/>
      <c r="AL97" s="43"/>
      <c r="AM97" s="43"/>
      <c r="AN97" s="6"/>
      <c r="AO97" s="4"/>
      <c r="AP97" s="4"/>
      <c r="AQ97" s="4"/>
      <c r="AR97" s="4"/>
      <c r="AS97" s="4"/>
      <c r="AT97" s="4"/>
      <c r="AU97" s="24"/>
      <c r="AV97" s="4"/>
      <c r="AW97" s="45"/>
      <c r="AX97" s="4"/>
      <c r="AY97" s="4"/>
      <c r="AZ97" s="4"/>
      <c r="BA97" s="4"/>
      <c r="BB97" s="4"/>
      <c r="BC97" s="11">
        <f t="shared" si="119"/>
        <v>0</v>
      </c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3"/>
      <c r="EU97" s="43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6"/>
      <c r="GP97" s="66" t="s">
        <v>783</v>
      </c>
      <c r="GQ97" s="43"/>
      <c r="GR97" s="58">
        <f>(GR113)</f>
        <v>22</v>
      </c>
      <c r="GS97" s="71">
        <v>30</v>
      </c>
      <c r="GT97" s="65">
        <f>$BD$2</f>
        <v>200</v>
      </c>
      <c r="GU97" s="150" t="s">
        <v>784</v>
      </c>
      <c r="GV97" s="45" t="s">
        <v>28</v>
      </c>
      <c r="GW97" s="65">
        <f>(GR97*GS97*GT97)/100</f>
        <v>1320</v>
      </c>
      <c r="GX97" s="80">
        <f>(GW97/$BF$2)*1000</f>
        <v>6600</v>
      </c>
      <c r="GY97" s="6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70"/>
      <c r="HP97" s="99" t="s">
        <v>783</v>
      </c>
      <c r="HQ97" s="100"/>
      <c r="HR97" s="58">
        <f>(HR98)*2*3</f>
        <v>0</v>
      </c>
      <c r="HS97" s="71">
        <v>30</v>
      </c>
      <c r="HT97" s="81">
        <f>$BD$2</f>
        <v>200</v>
      </c>
      <c r="HU97" s="150" t="s">
        <v>784</v>
      </c>
      <c r="HV97" s="45" t="s">
        <v>28</v>
      </c>
      <c r="HW97" s="65">
        <f>(HR97*HS97*HT97)/1000</f>
        <v>0</v>
      </c>
      <c r="HX97" s="106">
        <f>(HW97/$BF$2)*1000</f>
        <v>0</v>
      </c>
      <c r="HY97" s="45"/>
      <c r="HZ97" s="43"/>
      <c r="IA97" s="70"/>
      <c r="IB97" s="59"/>
      <c r="IC97" s="43"/>
      <c r="ID97" s="43"/>
      <c r="IE97" s="71"/>
      <c r="IF97" s="71"/>
      <c r="IG97" s="141"/>
      <c r="IH97" s="45" t="s">
        <v>28</v>
      </c>
      <c r="II97" s="65"/>
      <c r="IJ97" s="106"/>
      <c r="IK97" s="94"/>
      <c r="IL97" s="11">
        <f t="shared" si="106"/>
        <v>0</v>
      </c>
      <c r="IM97" s="13">
        <f t="shared" si="107"/>
        <v>0</v>
      </c>
      <c r="IN97" s="13">
        <f t="shared" si="108"/>
        <v>0</v>
      </c>
      <c r="IO97" s="13">
        <f t="shared" si="109"/>
        <v>0</v>
      </c>
      <c r="IP97" s="13">
        <f t="shared" si="121"/>
        <v>0</v>
      </c>
      <c r="IQ97" s="4"/>
      <c r="IR97" s="4"/>
      <c r="IS97" s="6" t="s">
        <v>28</v>
      </c>
      <c r="IT97" s="4"/>
      <c r="IU97" s="4"/>
      <c r="IV97" s="4"/>
    </row>
    <row r="98" spans="1:256" ht="13.5" thickBot="1">
      <c r="A98" s="210"/>
      <c r="B98" s="204"/>
      <c r="C98" s="245"/>
      <c r="D98" s="104"/>
      <c r="E98" s="104"/>
      <c r="F98" s="165" t="s">
        <v>785</v>
      </c>
      <c r="G98" s="165"/>
      <c r="H98" s="165"/>
      <c r="I98" s="104"/>
      <c r="J98" s="104"/>
      <c r="K98" s="104"/>
      <c r="L98" s="104"/>
      <c r="M98" s="300">
        <f>SUM(O77:O93)</f>
        <v>132582.34809728</v>
      </c>
      <c r="N98" s="228"/>
      <c r="O98" s="273" t="s">
        <v>786</v>
      </c>
      <c r="P98" s="207"/>
      <c r="Q98" s="208"/>
      <c r="R98" s="209"/>
      <c r="S98" s="35"/>
      <c r="T98" s="44" t="s">
        <v>521</v>
      </c>
      <c r="U98" s="43"/>
      <c r="V98" s="43"/>
      <c r="W98" s="43"/>
      <c r="X98" s="62">
        <v>0</v>
      </c>
      <c r="Y98" s="473">
        <f>Y40</f>
        <v>0</v>
      </c>
      <c r="Z98" s="63">
        <f t="shared" si="122"/>
        <v>0</v>
      </c>
      <c r="AA98" s="6"/>
      <c r="AB98" s="4"/>
      <c r="AC98" s="4"/>
      <c r="AD98" s="4"/>
      <c r="AE98" s="4"/>
      <c r="AF98" s="4"/>
      <c r="AG98" s="4"/>
      <c r="AH98" s="4"/>
      <c r="AI98" s="4"/>
      <c r="AJ98" s="43"/>
      <c r="AK98" s="4"/>
      <c r="AL98" s="43"/>
      <c r="AM98" s="43"/>
      <c r="AN98" s="6"/>
      <c r="AO98" s="4"/>
      <c r="AP98" s="4"/>
      <c r="AQ98" s="4"/>
      <c r="AR98" s="4"/>
      <c r="AS98" s="4"/>
      <c r="AT98" s="4"/>
      <c r="AU98" s="24"/>
      <c r="AV98" s="4"/>
      <c r="AW98" s="45"/>
      <c r="AX98" s="4"/>
      <c r="AY98" s="4"/>
      <c r="AZ98" s="4"/>
      <c r="BA98" s="4"/>
      <c r="BB98" s="4"/>
      <c r="BC98" s="11">
        <f t="shared" si="119"/>
        <v>0</v>
      </c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3"/>
      <c r="EU98" s="43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6"/>
      <c r="GP98" s="66" t="s">
        <v>787</v>
      </c>
      <c r="GQ98" s="43"/>
      <c r="GR98" s="58">
        <f>(GR113)</f>
        <v>22</v>
      </c>
      <c r="GS98" s="65">
        <v>2</v>
      </c>
      <c r="GT98" s="65">
        <v>60</v>
      </c>
      <c r="GU98" s="150" t="s">
        <v>788</v>
      </c>
      <c r="GV98" s="45" t="s">
        <v>28</v>
      </c>
      <c r="GW98" s="65">
        <f>(GR98*GS98*GT98)</f>
        <v>2640</v>
      </c>
      <c r="GX98" s="80">
        <f>(GW98/$BF$2)*1000</f>
        <v>13200</v>
      </c>
      <c r="GY98" s="6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70"/>
      <c r="HP98" s="99" t="s">
        <v>787</v>
      </c>
      <c r="HQ98" s="100"/>
      <c r="HR98" s="58">
        <v>0</v>
      </c>
      <c r="HS98" s="65">
        <v>2</v>
      </c>
      <c r="HT98" s="65">
        <v>100</v>
      </c>
      <c r="HU98" s="150" t="s">
        <v>789</v>
      </c>
      <c r="HV98" s="45" t="s">
        <v>28</v>
      </c>
      <c r="HW98" s="65">
        <f>(HR98*HS98*HT98)</f>
        <v>0</v>
      </c>
      <c r="HX98" s="106">
        <f>(HW98/$BF$2)*1000</f>
        <v>0</v>
      </c>
      <c r="HY98" s="45"/>
      <c r="HZ98" s="43"/>
      <c r="IA98" s="70"/>
      <c r="IB98" s="59"/>
      <c r="IC98" s="43"/>
      <c r="ID98" s="43"/>
      <c r="IE98" s="71"/>
      <c r="IF98" s="71"/>
      <c r="IG98" s="141"/>
      <c r="IH98" s="45" t="s">
        <v>28</v>
      </c>
      <c r="II98" s="65"/>
      <c r="IJ98" s="106"/>
      <c r="IK98" s="94"/>
      <c r="IL98" s="11">
        <f t="shared" si="106"/>
        <v>0</v>
      </c>
      <c r="IM98" s="13">
        <f t="shared" si="107"/>
        <v>0</v>
      </c>
      <c r="IN98" s="13">
        <f t="shared" si="108"/>
        <v>0</v>
      </c>
      <c r="IO98" s="13">
        <f t="shared" si="109"/>
        <v>0</v>
      </c>
      <c r="IP98" s="13">
        <f t="shared" si="121"/>
        <v>0</v>
      </c>
      <c r="IQ98" s="4"/>
      <c r="IR98" s="4"/>
      <c r="IS98" s="6" t="s">
        <v>28</v>
      </c>
      <c r="IT98" s="4"/>
      <c r="IU98" s="4"/>
      <c r="IV98" s="4"/>
    </row>
    <row r="99" spans="1:256" ht="13.5" thickBot="1">
      <c r="A99" s="210"/>
      <c r="B99" s="204"/>
      <c r="C99" s="24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8"/>
      <c r="P99" s="207"/>
      <c r="Q99" s="208"/>
      <c r="R99" s="209"/>
      <c r="S99" s="35"/>
      <c r="T99" s="44" t="s">
        <v>529</v>
      </c>
      <c r="U99" s="43"/>
      <c r="V99" s="43"/>
      <c r="W99" s="43"/>
      <c r="X99" s="62">
        <v>0</v>
      </c>
      <c r="Y99" s="473">
        <f>Y41</f>
        <v>0</v>
      </c>
      <c r="Z99" s="63">
        <f t="shared" si="122"/>
        <v>0</v>
      </c>
      <c r="AA99" s="6"/>
      <c r="AB99" s="4"/>
      <c r="AC99" s="4"/>
      <c r="AD99" s="4"/>
      <c r="AE99" s="4"/>
      <c r="AF99" s="4"/>
      <c r="AG99" s="4"/>
      <c r="AH99" s="4"/>
      <c r="AI99" s="4"/>
      <c r="AJ99" s="43"/>
      <c r="AK99" s="4"/>
      <c r="AL99" s="43"/>
      <c r="AM99" s="43"/>
      <c r="AN99" s="6"/>
      <c r="AO99" s="4"/>
      <c r="AP99" s="4"/>
      <c r="AQ99" s="4"/>
      <c r="AR99" s="4"/>
      <c r="AS99" s="4"/>
      <c r="AT99" s="4"/>
      <c r="AU99" s="24"/>
      <c r="AV99" s="4"/>
      <c r="AW99" s="45"/>
      <c r="AX99" s="4"/>
      <c r="AY99" s="4"/>
      <c r="AZ99" s="4"/>
      <c r="BA99" s="4"/>
      <c r="BB99" s="4"/>
      <c r="BC99" s="11">
        <f t="shared" si="119"/>
        <v>0</v>
      </c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3"/>
      <c r="EU99" s="43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6"/>
      <c r="GP99" s="66" t="s">
        <v>790</v>
      </c>
      <c r="GQ99" s="43"/>
      <c r="GR99" s="58">
        <f>(GR113)</f>
        <v>22</v>
      </c>
      <c r="GS99" s="65">
        <v>2</v>
      </c>
      <c r="GT99" s="65">
        <v>100</v>
      </c>
      <c r="GU99" s="150" t="s">
        <v>791</v>
      </c>
      <c r="GV99" s="45" t="s">
        <v>28</v>
      </c>
      <c r="GW99" s="65">
        <f>(GR99*GS99*GT99)</f>
        <v>4400</v>
      </c>
      <c r="GX99" s="80">
        <f>(GW99/$BF$2)*1000</f>
        <v>22000</v>
      </c>
      <c r="GY99" s="6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70"/>
      <c r="HP99" s="99" t="s">
        <v>790</v>
      </c>
      <c r="HQ99" s="100"/>
      <c r="HR99" s="58">
        <f>(HR98)</f>
        <v>0</v>
      </c>
      <c r="HS99" s="65">
        <v>2</v>
      </c>
      <c r="HT99" s="65">
        <v>100</v>
      </c>
      <c r="HU99" s="150" t="s">
        <v>789</v>
      </c>
      <c r="HV99" s="45" t="s">
        <v>28</v>
      </c>
      <c r="HW99" s="65">
        <f>(HR99*HS99*HT99)</f>
        <v>0</v>
      </c>
      <c r="HX99" s="106">
        <f>(HW99/$BF$2)*1000</f>
        <v>0</v>
      </c>
      <c r="HY99" s="45"/>
      <c r="HZ99" s="43"/>
      <c r="IA99" s="70"/>
      <c r="IB99" s="59"/>
      <c r="IC99" s="44" t="s">
        <v>792</v>
      </c>
      <c r="ID99" s="43"/>
      <c r="IE99" s="71"/>
      <c r="IF99" s="71"/>
      <c r="IG99" s="141"/>
      <c r="IH99" s="45" t="s">
        <v>28</v>
      </c>
      <c r="II99" s="65"/>
      <c r="IJ99" s="106"/>
      <c r="IK99" s="94"/>
      <c r="IL99" s="11">
        <f t="shared" si="106"/>
        <v>0</v>
      </c>
      <c r="IM99" s="13">
        <f t="shared" si="107"/>
        <v>0</v>
      </c>
      <c r="IN99" s="13">
        <f t="shared" si="108"/>
        <v>0</v>
      </c>
      <c r="IO99" s="13">
        <f t="shared" si="109"/>
        <v>0</v>
      </c>
      <c r="IP99" s="13">
        <f t="shared" si="121"/>
        <v>0</v>
      </c>
      <c r="IQ99" s="4"/>
      <c r="IR99" s="4"/>
      <c r="IS99" s="6" t="s">
        <v>28</v>
      </c>
      <c r="IT99" s="4"/>
      <c r="IU99" s="4"/>
      <c r="IV99" s="4"/>
    </row>
    <row r="100" spans="1:256" ht="13.5" thickBot="1">
      <c r="A100" s="210"/>
      <c r="B100" s="204"/>
      <c r="C100" s="245"/>
      <c r="D100" s="165" t="s">
        <v>793</v>
      </c>
      <c r="E100" s="104"/>
      <c r="F100" s="104"/>
      <c r="G100" s="104"/>
      <c r="H100" s="104"/>
      <c r="I100" s="104"/>
      <c r="J100" s="104"/>
      <c r="K100" s="104"/>
      <c r="L100" s="104">
        <v>366</v>
      </c>
      <c r="M100" s="206" t="s">
        <v>794</v>
      </c>
      <c r="N100" s="206"/>
      <c r="O100" s="494">
        <f>(M96/L100)</f>
        <v>290.70564480874316</v>
      </c>
      <c r="P100" s="207"/>
      <c r="Q100" s="208"/>
      <c r="R100" s="209"/>
      <c r="S100" s="35"/>
      <c r="T100" s="44" t="s">
        <v>795</v>
      </c>
      <c r="U100" s="43"/>
      <c r="V100" s="43"/>
      <c r="W100" s="43"/>
      <c r="X100" s="62">
        <v>0</v>
      </c>
      <c r="Y100" s="473">
        <f>Y42</f>
        <v>1200</v>
      </c>
      <c r="Z100" s="63">
        <f t="shared" si="122"/>
        <v>0</v>
      </c>
      <c r="AA100" s="6"/>
      <c r="AB100" s="4"/>
      <c r="AC100" s="4"/>
      <c r="AD100" s="4"/>
      <c r="AE100" s="4"/>
      <c r="AF100" s="4"/>
      <c r="AG100" s="4"/>
      <c r="AH100" s="4"/>
      <c r="AI100" s="4"/>
      <c r="AJ100" s="43"/>
      <c r="AK100" s="4"/>
      <c r="AL100" s="43"/>
      <c r="AM100" s="43"/>
      <c r="AN100" s="6"/>
      <c r="AO100" s="4"/>
      <c r="AP100" s="4"/>
      <c r="AQ100" s="4"/>
      <c r="AR100" s="4"/>
      <c r="AS100" s="4"/>
      <c r="AT100" s="4"/>
      <c r="AU100" s="4"/>
      <c r="AV100" s="4"/>
      <c r="AW100" s="45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3"/>
      <c r="EU100" s="43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6"/>
      <c r="GP100" s="59"/>
      <c r="GQ100" s="43"/>
      <c r="GR100" s="43"/>
      <c r="GS100" s="71"/>
      <c r="GT100" s="71"/>
      <c r="GU100" s="71"/>
      <c r="GV100" s="45" t="s">
        <v>28</v>
      </c>
      <c r="GW100" s="65"/>
      <c r="GX100" s="80"/>
      <c r="GY100" s="6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70"/>
      <c r="HP100" s="43"/>
      <c r="HQ100" s="43"/>
      <c r="HR100" s="43"/>
      <c r="HS100" s="71"/>
      <c r="HT100" s="71"/>
      <c r="HU100" s="71"/>
      <c r="HV100" s="45" t="s">
        <v>28</v>
      </c>
      <c r="HW100" s="65"/>
      <c r="HX100" s="106"/>
      <c r="HY100" s="45"/>
      <c r="HZ100" s="43"/>
      <c r="IA100" s="70"/>
      <c r="IB100" s="59"/>
      <c r="IC100" s="100"/>
      <c r="ID100" s="100"/>
      <c r="IE100" s="71"/>
      <c r="IF100" s="71"/>
      <c r="IG100" s="141"/>
      <c r="IH100" s="45" t="s">
        <v>28</v>
      </c>
      <c r="II100" s="65"/>
      <c r="IJ100" s="106"/>
      <c r="IK100" s="94"/>
      <c r="IL100" s="4"/>
      <c r="IM100" s="13"/>
      <c r="IN100" s="13"/>
      <c r="IO100" s="13"/>
      <c r="IP100" s="13"/>
      <c r="IQ100" s="4"/>
      <c r="IR100" s="4"/>
      <c r="IS100" s="6" t="s">
        <v>28</v>
      </c>
      <c r="IT100" s="4"/>
      <c r="IU100" s="4"/>
      <c r="IV100" s="4"/>
    </row>
    <row r="101" spans="1:256" ht="13.5" thickBot="1">
      <c r="A101" s="210"/>
      <c r="B101" s="204"/>
      <c r="C101" s="24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66"/>
      <c r="P101" s="207"/>
      <c r="Q101" s="208"/>
      <c r="R101" s="209"/>
      <c r="S101" s="35"/>
      <c r="T101" s="43"/>
      <c r="U101" s="43"/>
      <c r="V101" s="43"/>
      <c r="W101" s="43"/>
      <c r="X101" s="36"/>
      <c r="Y101" s="43"/>
      <c r="Z101" s="63">
        <f t="shared" si="122"/>
        <v>0</v>
      </c>
      <c r="AA101" s="6"/>
      <c r="AB101" s="4"/>
      <c r="AC101" s="4"/>
      <c r="AD101" s="4"/>
      <c r="AE101" s="4"/>
      <c r="AF101" s="4"/>
      <c r="AG101" s="4"/>
      <c r="AH101" s="4"/>
      <c r="AI101" s="4"/>
      <c r="AJ101" s="43"/>
      <c r="AK101" s="4"/>
      <c r="AL101" s="43"/>
      <c r="AM101" s="43"/>
      <c r="AN101" s="6"/>
      <c r="AO101" s="4"/>
      <c r="AP101" s="4"/>
      <c r="AQ101" s="4"/>
      <c r="AR101" s="4"/>
      <c r="AS101" s="4"/>
      <c r="AT101" s="4"/>
      <c r="AU101" s="4"/>
      <c r="AV101" s="4"/>
      <c r="AW101" s="45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3"/>
      <c r="EU101" s="43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6"/>
      <c r="GP101" s="38" t="s">
        <v>796</v>
      </c>
      <c r="GQ101" s="43"/>
      <c r="GR101" s="43"/>
      <c r="GS101" s="71"/>
      <c r="GT101" s="71"/>
      <c r="GU101" s="71"/>
      <c r="GV101" s="45" t="s">
        <v>28</v>
      </c>
      <c r="GW101" s="65"/>
      <c r="GX101" s="80"/>
      <c r="GY101" s="6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70"/>
      <c r="HP101" s="47" t="s">
        <v>796</v>
      </c>
      <c r="HQ101" s="43"/>
      <c r="HR101" s="43"/>
      <c r="HS101" s="71"/>
      <c r="HT101" s="71"/>
      <c r="HU101" s="71"/>
      <c r="HV101" s="45" t="s">
        <v>28</v>
      </c>
      <c r="HW101" s="65"/>
      <c r="HX101" s="106"/>
      <c r="HY101" s="45"/>
      <c r="HZ101" s="43"/>
      <c r="IA101" s="70"/>
      <c r="IB101" s="59"/>
      <c r="IC101" s="99" t="s">
        <v>797</v>
      </c>
      <c r="ID101" s="100"/>
      <c r="IE101" s="71"/>
      <c r="IF101" s="71"/>
      <c r="IG101" s="338">
        <f>(IF76)</f>
        <v>0</v>
      </c>
      <c r="IH101" s="45" t="s">
        <v>28</v>
      </c>
      <c r="II101" s="65"/>
      <c r="IJ101" s="106"/>
      <c r="IK101" s="94"/>
      <c r="IL101" s="4"/>
      <c r="IM101" s="13"/>
      <c r="IN101" s="13"/>
      <c r="IO101" s="13"/>
      <c r="IP101" s="13"/>
      <c r="IQ101" s="4"/>
      <c r="IR101" s="4"/>
      <c r="IS101" s="6" t="s">
        <v>28</v>
      </c>
      <c r="IT101" s="4"/>
      <c r="IU101" s="4"/>
      <c r="IV101" s="4"/>
    </row>
    <row r="102" spans="1:256" ht="13.5" thickBot="1">
      <c r="A102" s="210"/>
      <c r="B102" s="204"/>
      <c r="C102" s="245"/>
      <c r="D102" s="230" t="s">
        <v>798</v>
      </c>
      <c r="E102" s="231"/>
      <c r="F102" s="231"/>
      <c r="G102" s="231"/>
      <c r="H102" s="231"/>
      <c r="I102" s="205"/>
      <c r="J102" s="205"/>
      <c r="K102" s="205"/>
      <c r="L102" s="372">
        <f>(BD2)</f>
        <v>200</v>
      </c>
      <c r="M102" s="206" t="s">
        <v>799</v>
      </c>
      <c r="N102" s="206"/>
      <c r="O102" s="572">
        <f>(O100/L102)*1000</f>
        <v>1453.5282240437157</v>
      </c>
      <c r="P102" s="207"/>
      <c r="Q102" s="208"/>
      <c r="R102" s="209"/>
      <c r="S102" s="182" t="s">
        <v>800</v>
      </c>
      <c r="T102" s="47" t="s">
        <v>801</v>
      </c>
      <c r="U102" s="43"/>
      <c r="V102" s="43"/>
      <c r="W102" s="43"/>
      <c r="X102" s="62">
        <f>SUM(X103:X112)</f>
        <v>0</v>
      </c>
      <c r="Y102" s="300">
        <f>SUM(Y103:Y105)</f>
        <v>0</v>
      </c>
      <c r="Z102" s="46"/>
      <c r="AA102" s="6"/>
      <c r="AB102" s="4"/>
      <c r="AC102" s="4"/>
      <c r="AD102" s="4"/>
      <c r="AE102" s="4"/>
      <c r="AF102" s="4"/>
      <c r="AG102" s="4"/>
      <c r="AH102" s="4"/>
      <c r="AI102" s="4"/>
      <c r="AJ102" s="43"/>
      <c r="AK102" s="4"/>
      <c r="AL102" s="43"/>
      <c r="AM102" s="43"/>
      <c r="AN102" s="6" t="s">
        <v>28</v>
      </c>
      <c r="AO102" s="4"/>
      <c r="AP102" s="4"/>
      <c r="AQ102" s="4"/>
      <c r="AR102" s="4"/>
      <c r="AS102" s="4"/>
      <c r="AT102" s="4"/>
      <c r="AU102" s="4"/>
      <c r="AV102" s="4"/>
      <c r="AW102" s="45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3"/>
      <c r="EU102" s="43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6"/>
      <c r="GP102" s="59"/>
      <c r="GQ102" s="43"/>
      <c r="GR102" s="43"/>
      <c r="GS102" s="71"/>
      <c r="GT102" s="71"/>
      <c r="GU102" s="71"/>
      <c r="GV102" s="45" t="s">
        <v>28</v>
      </c>
      <c r="GW102" s="65"/>
      <c r="GX102" s="80"/>
      <c r="GY102" s="6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70"/>
      <c r="HP102" s="43"/>
      <c r="HQ102" s="43"/>
      <c r="HR102" s="43"/>
      <c r="HS102" s="71"/>
      <c r="HT102" s="71"/>
      <c r="HU102" s="71"/>
      <c r="HV102" s="45" t="s">
        <v>28</v>
      </c>
      <c r="HW102" s="65"/>
      <c r="HX102" s="106"/>
      <c r="HY102" s="45"/>
      <c r="HZ102" s="43"/>
      <c r="IA102" s="70"/>
      <c r="IB102" s="59"/>
      <c r="IC102" s="99" t="s">
        <v>802</v>
      </c>
      <c r="ID102" s="100"/>
      <c r="IE102" s="71"/>
      <c r="IF102" s="71"/>
      <c r="IG102" s="338">
        <f>(IF83)</f>
        <v>6500</v>
      </c>
      <c r="IH102" s="45" t="s">
        <v>28</v>
      </c>
      <c r="II102" s="65"/>
      <c r="IJ102" s="106"/>
      <c r="IK102" s="94"/>
      <c r="IL102" s="4"/>
      <c r="IM102" s="13"/>
      <c r="IN102" s="13"/>
      <c r="IO102" s="13">
        <f>IF((GN56)=1,0,(GW56))</f>
        <v>0</v>
      </c>
      <c r="IP102" s="13"/>
      <c r="IQ102" s="4"/>
      <c r="IR102" s="4"/>
      <c r="IS102" s="6" t="s">
        <v>28</v>
      </c>
      <c r="IT102" s="4"/>
      <c r="IU102" s="4"/>
      <c r="IV102" s="4"/>
    </row>
    <row r="103" spans="1:256" ht="13.5" thickBot="1">
      <c r="A103" s="210"/>
      <c r="B103" s="204"/>
      <c r="C103" s="24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66"/>
      <c r="P103" s="207"/>
      <c r="Q103" s="208"/>
      <c r="R103" s="209"/>
      <c r="S103" s="35"/>
      <c r="T103" s="44" t="s">
        <v>117</v>
      </c>
      <c r="U103" s="43"/>
      <c r="V103" s="43"/>
      <c r="W103" s="43"/>
      <c r="X103" s="62">
        <f>SUM(X104:X117)</f>
        <v>0</v>
      </c>
      <c r="Y103" s="473">
        <f>Y9</f>
        <v>0</v>
      </c>
      <c r="Z103" s="63">
        <f>IF((X103)=0,0,(Y103-X103)/X103)</f>
        <v>0</v>
      </c>
      <c r="AA103" s="6"/>
      <c r="AB103" s="4"/>
      <c r="AC103" s="4"/>
      <c r="AD103" s="4"/>
      <c r="AE103" s="4"/>
      <c r="AF103" s="4"/>
      <c r="AG103" s="4"/>
      <c r="AH103" s="4"/>
      <c r="AI103" s="4"/>
      <c r="AJ103" s="43"/>
      <c r="AK103" s="4"/>
      <c r="AL103" s="43"/>
      <c r="AM103" s="43"/>
      <c r="AN103" s="6" t="s">
        <v>28</v>
      </c>
      <c r="AO103" s="4"/>
      <c r="AP103" s="4"/>
      <c r="AQ103" s="4"/>
      <c r="AR103" s="4"/>
      <c r="AS103" s="4"/>
      <c r="AT103" s="4"/>
      <c r="AU103" s="4"/>
      <c r="AV103" s="4"/>
      <c r="AW103" s="45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3"/>
      <c r="EU103" s="43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6"/>
      <c r="GP103" s="66" t="s">
        <v>803</v>
      </c>
      <c r="GQ103" s="43"/>
      <c r="GR103" s="58">
        <f>(GR113)</f>
        <v>22</v>
      </c>
      <c r="GS103" s="65">
        <v>365</v>
      </c>
      <c r="GT103" s="65">
        <v>1750</v>
      </c>
      <c r="GU103" s="71"/>
      <c r="GV103" s="45" t="s">
        <v>28</v>
      </c>
      <c r="GW103" s="62">
        <f>(GR103*GS103*GT103)/1000</f>
        <v>14052.5</v>
      </c>
      <c r="GX103" s="149">
        <f>(GW103/$BF$2)*1000</f>
        <v>70262.5</v>
      </c>
      <c r="GY103" s="6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70"/>
      <c r="HP103" s="99" t="s">
        <v>803</v>
      </c>
      <c r="HQ103" s="100"/>
      <c r="HR103" s="101">
        <f>(HR113)</f>
        <v>8</v>
      </c>
      <c r="HS103" s="108">
        <v>365</v>
      </c>
      <c r="HT103" s="108">
        <v>1750</v>
      </c>
      <c r="HU103" s="71"/>
      <c r="HV103" s="45" t="s">
        <v>28</v>
      </c>
      <c r="HW103" s="62">
        <f>(HR103*HS103*HT103)/1000</f>
        <v>5110</v>
      </c>
      <c r="HX103" s="153">
        <f>(HW103/$BF$2)*1000</f>
        <v>25550</v>
      </c>
      <c r="HY103" s="45"/>
      <c r="HZ103" s="43"/>
      <c r="IA103" s="70"/>
      <c r="IB103" s="59"/>
      <c r="IC103" s="99" t="s">
        <v>804</v>
      </c>
      <c r="ID103" s="100"/>
      <c r="IE103" s="71"/>
      <c r="IF103" s="71"/>
      <c r="IG103" s="338">
        <f>(IF89)</f>
        <v>3250</v>
      </c>
      <c r="IH103" s="45" t="s">
        <v>28</v>
      </c>
      <c r="II103" s="65"/>
      <c r="IJ103" s="106"/>
      <c r="IK103" s="94"/>
      <c r="IL103" s="4"/>
      <c r="IM103" s="13"/>
      <c r="IN103" s="13"/>
      <c r="IO103" s="13">
        <f>IF((GN57)=1,0,(GW57))</f>
        <v>0</v>
      </c>
      <c r="IP103" s="13"/>
      <c r="IQ103" s="4"/>
      <c r="IR103" s="4"/>
      <c r="IS103" s="6" t="s">
        <v>28</v>
      </c>
      <c r="IT103" s="4"/>
      <c r="IU103" s="4"/>
      <c r="IV103" s="4"/>
    </row>
    <row r="104" spans="1:256" ht="13.5" thickBot="1">
      <c r="A104" s="210"/>
      <c r="B104" s="204"/>
      <c r="C104" s="245"/>
      <c r="D104" s="165" t="s">
        <v>805</v>
      </c>
      <c r="E104" s="104"/>
      <c r="F104" s="104"/>
      <c r="G104" s="104"/>
      <c r="H104" s="104"/>
      <c r="I104" s="104"/>
      <c r="J104" s="104"/>
      <c r="K104" s="104"/>
      <c r="L104" s="104">
        <v>366</v>
      </c>
      <c r="M104" s="206" t="s">
        <v>794</v>
      </c>
      <c r="N104" s="206"/>
      <c r="O104" s="300">
        <f>(M98/L104)</f>
        <v>362.2468527248087</v>
      </c>
      <c r="P104" s="207"/>
      <c r="Q104" s="208"/>
      <c r="R104" s="209"/>
      <c r="S104" s="35"/>
      <c r="T104" s="44" t="s">
        <v>133</v>
      </c>
      <c r="U104" s="43"/>
      <c r="V104" s="43"/>
      <c r="W104" s="43"/>
      <c r="X104" s="62">
        <f>SUM(X105:X118)</f>
        <v>0</v>
      </c>
      <c r="Y104" s="473">
        <f>Y10</f>
        <v>0</v>
      </c>
      <c r="Z104" s="63">
        <f>IF((X103)=0,0,(Y103-X103)/X103)</f>
        <v>0</v>
      </c>
      <c r="AA104" s="6"/>
      <c r="AB104" s="4"/>
      <c r="AC104" s="4"/>
      <c r="AD104" s="4"/>
      <c r="AE104" s="4"/>
      <c r="AF104" s="4"/>
      <c r="AG104" s="4"/>
      <c r="AH104" s="4"/>
      <c r="AI104" s="4"/>
      <c r="AJ104" s="43"/>
      <c r="AK104" s="4"/>
      <c r="AL104" s="43"/>
      <c r="AM104" s="43"/>
      <c r="AN104" s="6" t="s">
        <v>28</v>
      </c>
      <c r="AO104" s="4"/>
      <c r="AP104" s="4"/>
      <c r="AQ104" s="4"/>
      <c r="AR104" s="4"/>
      <c r="AS104" s="4"/>
      <c r="AT104" s="4"/>
      <c r="AU104" s="4"/>
      <c r="AV104" s="4"/>
      <c r="AW104" s="45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3"/>
      <c r="EU104" s="43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6"/>
      <c r="GP104" s="59"/>
      <c r="GQ104" s="43"/>
      <c r="GR104" s="43"/>
      <c r="GS104" s="71"/>
      <c r="GT104" s="71"/>
      <c r="GU104" s="71"/>
      <c r="GV104" s="45" t="s">
        <v>28</v>
      </c>
      <c r="GW104" s="65"/>
      <c r="GX104" s="80"/>
      <c r="GY104" s="6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70"/>
      <c r="HP104" s="43"/>
      <c r="HQ104" s="43"/>
      <c r="HR104" s="43"/>
      <c r="HS104" s="71"/>
      <c r="HT104" s="71"/>
      <c r="HU104" s="71"/>
      <c r="HV104" s="45" t="s">
        <v>28</v>
      </c>
      <c r="HW104" s="65"/>
      <c r="HX104" s="106"/>
      <c r="HY104" s="45"/>
      <c r="HZ104" s="43"/>
      <c r="IA104" s="70"/>
      <c r="IB104" s="59"/>
      <c r="IC104" s="99" t="s">
        <v>359</v>
      </c>
      <c r="ID104" s="100"/>
      <c r="IE104" s="71"/>
      <c r="IF104" s="71"/>
      <c r="IG104" s="338">
        <f>(IF93)</f>
        <v>365</v>
      </c>
      <c r="IH104" s="45" t="s">
        <v>28</v>
      </c>
      <c r="II104" s="65"/>
      <c r="IJ104" s="106"/>
      <c r="IK104" s="94"/>
      <c r="IL104" s="4"/>
      <c r="IM104" s="13"/>
      <c r="IN104" s="13"/>
      <c r="IO104" s="13">
        <f>IF((GN58)=1,0,(GW58))</f>
        <v>0</v>
      </c>
      <c r="IP104" s="13"/>
      <c r="IQ104" s="4"/>
      <c r="IR104" s="4"/>
      <c r="IS104" s="6" t="s">
        <v>28</v>
      </c>
      <c r="IT104" s="4"/>
      <c r="IU104" s="4"/>
      <c r="IV104" s="4"/>
    </row>
    <row r="105" spans="1:256" ht="13.5" thickBot="1">
      <c r="A105" s="210"/>
      <c r="B105" s="204"/>
      <c r="C105" s="24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66"/>
      <c r="P105" s="207"/>
      <c r="Q105" s="208"/>
      <c r="R105" s="209"/>
      <c r="S105" s="35"/>
      <c r="T105" s="44" t="s">
        <v>141</v>
      </c>
      <c r="U105" s="43"/>
      <c r="V105" s="43"/>
      <c r="W105" s="43"/>
      <c r="X105" s="62">
        <f>SUM(X115:X119)</f>
        <v>0</v>
      </c>
      <c r="Y105" s="473">
        <f>Y11</f>
        <v>0</v>
      </c>
      <c r="Z105" s="63">
        <f>IF((X104)=0,0,(Y104-X104)/X104)</f>
        <v>0</v>
      </c>
      <c r="AA105" s="6"/>
      <c r="AB105" s="4"/>
      <c r="AC105" s="4"/>
      <c r="AD105" s="4"/>
      <c r="AE105" s="4"/>
      <c r="AF105" s="4"/>
      <c r="AG105" s="4"/>
      <c r="AH105" s="4"/>
      <c r="AI105" s="4"/>
      <c r="AJ105" s="43"/>
      <c r="AK105" s="4"/>
      <c r="AL105" s="43"/>
      <c r="AM105" s="43"/>
      <c r="AN105" s="6" t="s">
        <v>28</v>
      </c>
      <c r="AO105" s="4"/>
      <c r="AP105" s="4"/>
      <c r="AQ105" s="4"/>
      <c r="AR105" s="4"/>
      <c r="AS105" s="4"/>
      <c r="AT105" s="4"/>
      <c r="AU105" s="14"/>
      <c r="AV105" s="4"/>
      <c r="AW105" s="45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3"/>
      <c r="EU105" s="43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6"/>
      <c r="GP105" s="38" t="s">
        <v>806</v>
      </c>
      <c r="GQ105" s="43"/>
      <c r="GR105" s="43"/>
      <c r="GS105" s="71"/>
      <c r="GT105" s="148" t="s">
        <v>807</v>
      </c>
      <c r="GU105" s="71"/>
      <c r="GV105" s="45" t="s">
        <v>28</v>
      </c>
      <c r="GW105" s="65"/>
      <c r="GX105" s="80"/>
      <c r="GY105" s="6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70"/>
      <c r="HP105" s="47" t="s">
        <v>806</v>
      </c>
      <c r="HQ105" s="43"/>
      <c r="HR105" s="43"/>
      <c r="HS105" s="71"/>
      <c r="HT105" s="148" t="s">
        <v>808</v>
      </c>
      <c r="HU105" s="71"/>
      <c r="HV105" s="45" t="s">
        <v>28</v>
      </c>
      <c r="HW105" s="65"/>
      <c r="HX105" s="106"/>
      <c r="HY105" s="45"/>
      <c r="HZ105" s="43"/>
      <c r="IA105" s="70"/>
      <c r="IB105" s="59"/>
      <c r="IC105" s="43"/>
      <c r="ID105" s="43"/>
      <c r="IE105" s="71"/>
      <c r="IF105" s="71"/>
      <c r="IG105" s="65"/>
      <c r="IH105" s="45" t="s">
        <v>28</v>
      </c>
      <c r="II105" s="65"/>
      <c r="IJ105" s="106"/>
      <c r="IK105" s="94"/>
      <c r="IL105" s="4"/>
      <c r="IM105" s="13"/>
      <c r="IN105" s="13"/>
      <c r="IO105" s="13">
        <f>IF((GN59)=1,0,(GW59))</f>
        <v>0</v>
      </c>
      <c r="IP105" s="13"/>
      <c r="IQ105" s="4"/>
      <c r="IR105" s="4"/>
      <c r="IS105" s="6" t="s">
        <v>28</v>
      </c>
      <c r="IT105" s="4"/>
      <c r="IU105" s="4"/>
      <c r="IV105" s="4"/>
    </row>
    <row r="106" spans="1:256" ht="13.5" thickBot="1">
      <c r="A106" s="210"/>
      <c r="B106" s="204"/>
      <c r="C106" s="245"/>
      <c r="D106" s="230" t="s">
        <v>798</v>
      </c>
      <c r="E106" s="231"/>
      <c r="F106" s="231"/>
      <c r="G106" s="231"/>
      <c r="H106" s="231"/>
      <c r="I106" s="205"/>
      <c r="J106" s="205"/>
      <c r="K106" s="205"/>
      <c r="L106" s="381">
        <f>(L102)</f>
        <v>200</v>
      </c>
      <c r="M106" s="206" t="s">
        <v>799</v>
      </c>
      <c r="N106" s="206"/>
      <c r="O106" s="301">
        <f>(O104/L106)*1000</f>
        <v>1811.2342636240435</v>
      </c>
      <c r="P106" s="207"/>
      <c r="Q106" s="208"/>
      <c r="R106" s="232"/>
      <c r="S106" s="35"/>
      <c r="T106" s="43"/>
      <c r="U106" s="43"/>
      <c r="V106" s="43"/>
      <c r="W106" s="43"/>
      <c r="X106" s="36"/>
      <c r="Y106" s="43"/>
      <c r="Z106" s="46"/>
      <c r="AA106" s="6"/>
      <c r="AB106" s="4"/>
      <c r="AC106" s="4"/>
      <c r="AD106" s="4"/>
      <c r="AE106" s="4"/>
      <c r="AF106" s="4"/>
      <c r="AG106" s="4"/>
      <c r="AH106" s="4"/>
      <c r="AI106" s="4"/>
      <c r="AJ106" s="43"/>
      <c r="AK106" s="4"/>
      <c r="AL106" s="43"/>
      <c r="AM106" s="43"/>
      <c r="AN106" s="6" t="s">
        <v>28</v>
      </c>
      <c r="AO106" s="4"/>
      <c r="AP106" s="4"/>
      <c r="AQ106" s="4"/>
      <c r="AR106" s="4"/>
      <c r="AS106" s="4"/>
      <c r="AT106" s="12"/>
      <c r="AU106" s="4"/>
      <c r="AV106" s="4"/>
      <c r="AW106" s="45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3"/>
      <c r="EU106" s="43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6"/>
      <c r="GP106" s="66" t="s">
        <v>809</v>
      </c>
      <c r="GQ106" s="43"/>
      <c r="GR106" s="43"/>
      <c r="GS106" s="71"/>
      <c r="GT106" s="65">
        <v>1</v>
      </c>
      <c r="GU106" s="65">
        <v>270</v>
      </c>
      <c r="GV106" s="45" t="s">
        <v>28</v>
      </c>
      <c r="GW106" s="62">
        <f aca="true" t="shared" si="123" ref="GW106:GW111">IF(GT106&lt;=0,0,GU106)</f>
        <v>270</v>
      </c>
      <c r="GX106" s="80">
        <f aca="true" t="shared" si="124" ref="GX106:GX111">(GW106/$BF$2)*1000</f>
        <v>1350</v>
      </c>
      <c r="GY106" s="6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70"/>
      <c r="HP106" s="99" t="s">
        <v>810</v>
      </c>
      <c r="HQ106" s="100"/>
      <c r="HR106" s="100"/>
      <c r="HS106" s="129"/>
      <c r="HT106" s="65">
        <v>12</v>
      </c>
      <c r="HU106" s="65">
        <v>10</v>
      </c>
      <c r="HV106" s="45" t="s">
        <v>28</v>
      </c>
      <c r="HW106" s="62">
        <f>IF(HT106&lt;=0,0,HU106*HT106)</f>
        <v>120</v>
      </c>
      <c r="HX106" s="106">
        <f aca="true" t="shared" si="125" ref="HX106:HX111">(HW106/$BF$2)*1000</f>
        <v>600</v>
      </c>
      <c r="HY106" s="45"/>
      <c r="HZ106" s="43"/>
      <c r="IA106" s="70"/>
      <c r="IB106" s="59"/>
      <c r="IC106" s="43"/>
      <c r="ID106" s="43"/>
      <c r="IE106" s="71"/>
      <c r="IF106" s="71"/>
      <c r="IG106" s="65"/>
      <c r="IH106" s="45" t="s">
        <v>28</v>
      </c>
      <c r="II106" s="65"/>
      <c r="IJ106" s="106"/>
      <c r="IK106" s="94"/>
      <c r="IL106" s="4"/>
      <c r="IM106" s="13"/>
      <c r="IN106" s="13"/>
      <c r="IO106" s="13"/>
      <c r="IP106" s="13"/>
      <c r="IQ106" s="4"/>
      <c r="IR106" s="4"/>
      <c r="IS106" s="6" t="s">
        <v>28</v>
      </c>
      <c r="IT106" s="4"/>
      <c r="IU106" s="4"/>
      <c r="IV106" s="4"/>
    </row>
    <row r="107" spans="1:256" ht="13.5" thickBot="1">
      <c r="A107" s="210"/>
      <c r="B107" s="233"/>
      <c r="C107" s="247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9"/>
      <c r="P107" s="234"/>
      <c r="Q107" s="219"/>
      <c r="R107" s="209"/>
      <c r="S107" s="182" t="s">
        <v>811</v>
      </c>
      <c r="T107" s="47" t="s">
        <v>812</v>
      </c>
      <c r="U107" s="43"/>
      <c r="V107" s="43"/>
      <c r="W107" s="43"/>
      <c r="X107" s="62">
        <f>SUM(X108:X111)</f>
        <v>0</v>
      </c>
      <c r="Y107" s="300">
        <f>SUM(Y108:Y112)</f>
        <v>26184.082097279996</v>
      </c>
      <c r="Z107" s="63">
        <f>IF((X107)=0,0,(Y107-X107)/X107)</f>
        <v>0</v>
      </c>
      <c r="AA107" s="6"/>
      <c r="AB107" s="4"/>
      <c r="AC107" s="4"/>
      <c r="AD107" s="4"/>
      <c r="AE107" s="4"/>
      <c r="AF107" s="4"/>
      <c r="AG107" s="4"/>
      <c r="AH107" s="4"/>
      <c r="AI107" s="4"/>
      <c r="AJ107" s="43"/>
      <c r="AK107" s="4"/>
      <c r="AL107" s="43"/>
      <c r="AM107" s="43"/>
      <c r="AN107" s="6" t="s">
        <v>28</v>
      </c>
      <c r="AO107" s="4"/>
      <c r="AP107" s="4"/>
      <c r="AQ107" s="4"/>
      <c r="AR107" s="4"/>
      <c r="AS107" s="4"/>
      <c r="AT107" s="14"/>
      <c r="AU107" s="4"/>
      <c r="AV107" s="4"/>
      <c r="AW107" s="45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3"/>
      <c r="EU107" s="43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6"/>
      <c r="GP107" s="66" t="s">
        <v>813</v>
      </c>
      <c r="GQ107" s="43"/>
      <c r="GR107" s="43"/>
      <c r="GS107" s="147">
        <f>6.5/100</f>
        <v>0.065</v>
      </c>
      <c r="GT107" s="65">
        <v>1</v>
      </c>
      <c r="GU107" s="65">
        <f>(GS107*GW94)/2</f>
        <v>0</v>
      </c>
      <c r="GV107" s="45" t="s">
        <v>28</v>
      </c>
      <c r="GW107" s="62">
        <f t="shared" si="123"/>
        <v>0</v>
      </c>
      <c r="GX107" s="80">
        <f t="shared" si="124"/>
        <v>0</v>
      </c>
      <c r="GY107" s="6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70"/>
      <c r="HP107" s="99" t="s">
        <v>813</v>
      </c>
      <c r="HQ107" s="100"/>
      <c r="HR107" s="100"/>
      <c r="HS107" s="177">
        <f>6.5/100</f>
        <v>0.065</v>
      </c>
      <c r="HT107" s="65">
        <v>1</v>
      </c>
      <c r="HU107" s="65">
        <f>(HS107*HW95)</f>
        <v>273.91688999999997</v>
      </c>
      <c r="HV107" s="45" t="s">
        <v>28</v>
      </c>
      <c r="HW107" s="62">
        <f>IF(HT107&lt;=0,0,HU107)</f>
        <v>273.91688999999997</v>
      </c>
      <c r="HX107" s="106">
        <f t="shared" si="125"/>
        <v>1369.5844499999998</v>
      </c>
      <c r="HY107" s="45"/>
      <c r="HZ107" s="43"/>
      <c r="IA107" s="70"/>
      <c r="IB107" s="59"/>
      <c r="IC107" s="43"/>
      <c r="ID107" s="43"/>
      <c r="IE107" s="71"/>
      <c r="IF107" s="71"/>
      <c r="IG107" s="65"/>
      <c r="IH107" s="45" t="s">
        <v>28</v>
      </c>
      <c r="II107" s="65"/>
      <c r="IJ107" s="106"/>
      <c r="IK107" s="94"/>
      <c r="IL107" s="4"/>
      <c r="IM107" s="13"/>
      <c r="IN107" s="13"/>
      <c r="IO107" s="13"/>
      <c r="IP107" s="13"/>
      <c r="IQ107" s="4"/>
      <c r="IR107" s="4"/>
      <c r="IS107" s="6" t="s">
        <v>28</v>
      </c>
      <c r="IT107" s="4"/>
      <c r="IU107" s="4"/>
      <c r="IV107" s="4"/>
    </row>
    <row r="108" spans="1:256" ht="12.75">
      <c r="A108" s="210"/>
      <c r="B108" s="203"/>
      <c r="C108" s="220"/>
      <c r="D108" s="220"/>
      <c r="E108" s="220"/>
      <c r="F108" s="30"/>
      <c r="G108" s="30"/>
      <c r="H108" s="30"/>
      <c r="I108" s="220"/>
      <c r="J108" s="220"/>
      <c r="K108" s="220"/>
      <c r="L108" s="220"/>
      <c r="M108" s="220"/>
      <c r="N108" s="220"/>
      <c r="O108" s="220"/>
      <c r="P108" s="209"/>
      <c r="Q108" s="220"/>
      <c r="R108" s="209"/>
      <c r="S108" s="59"/>
      <c r="T108" s="44" t="s">
        <v>411</v>
      </c>
      <c r="U108" s="43"/>
      <c r="V108" s="43"/>
      <c r="W108" s="43"/>
      <c r="X108" s="62">
        <v>0</v>
      </c>
      <c r="Y108" s="473">
        <f>Y30</f>
        <v>17539.22209728</v>
      </c>
      <c r="Z108" s="63">
        <f>IF((X108)=0,0,(Y108-X108)/X108)</f>
        <v>0</v>
      </c>
      <c r="AA108" s="6"/>
      <c r="AB108" s="4"/>
      <c r="AC108" s="4"/>
      <c r="AD108" s="4"/>
      <c r="AE108" s="4"/>
      <c r="AF108" s="4"/>
      <c r="AG108" s="4"/>
      <c r="AH108" s="4"/>
      <c r="AI108" s="4"/>
      <c r="AJ108" s="43"/>
      <c r="AK108" s="4"/>
      <c r="AL108" s="43"/>
      <c r="AM108" s="43"/>
      <c r="AN108" s="6" t="s">
        <v>28</v>
      </c>
      <c r="AO108" s="4"/>
      <c r="AP108" s="12"/>
      <c r="AQ108" s="4"/>
      <c r="AR108" s="4"/>
      <c r="AS108" s="4"/>
      <c r="AT108" s="12"/>
      <c r="AU108" s="4"/>
      <c r="AV108" s="4"/>
      <c r="AW108" s="45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3"/>
      <c r="EU108" s="43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6"/>
      <c r="GP108" s="66" t="s">
        <v>814</v>
      </c>
      <c r="GQ108" s="43"/>
      <c r="GR108" s="43"/>
      <c r="GS108" s="71"/>
      <c r="GT108" s="65">
        <v>1</v>
      </c>
      <c r="GU108" s="65">
        <v>80</v>
      </c>
      <c r="GV108" s="45" t="s">
        <v>28</v>
      </c>
      <c r="GW108" s="62">
        <f t="shared" si="123"/>
        <v>80</v>
      </c>
      <c r="GX108" s="80">
        <f t="shared" si="124"/>
        <v>400</v>
      </c>
      <c r="GY108" s="6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70"/>
      <c r="HP108" s="99" t="s">
        <v>814</v>
      </c>
      <c r="HQ108" s="100"/>
      <c r="HR108" s="100"/>
      <c r="HS108" s="129"/>
      <c r="HT108" s="65">
        <v>1</v>
      </c>
      <c r="HU108" s="65">
        <v>80</v>
      </c>
      <c r="HV108" s="45" t="s">
        <v>28</v>
      </c>
      <c r="HW108" s="62">
        <f>IF(HT108&lt;=0,0,HU108)</f>
        <v>80</v>
      </c>
      <c r="HX108" s="106">
        <f t="shared" si="125"/>
        <v>400</v>
      </c>
      <c r="HY108" s="45"/>
      <c r="HZ108" s="43"/>
      <c r="IA108" s="70"/>
      <c r="IB108" s="59"/>
      <c r="IC108" s="43"/>
      <c r="ID108" s="43"/>
      <c r="IE108" s="71"/>
      <c r="IF108" s="71"/>
      <c r="IG108" s="65"/>
      <c r="IH108" s="45" t="s">
        <v>28</v>
      </c>
      <c r="II108" s="65"/>
      <c r="IJ108" s="106"/>
      <c r="IK108" s="94"/>
      <c r="IL108" s="4"/>
      <c r="IM108" s="13"/>
      <c r="IN108" s="13"/>
      <c r="IO108" s="13"/>
      <c r="IP108" s="13"/>
      <c r="IQ108" s="4"/>
      <c r="IR108" s="4"/>
      <c r="IS108" s="6" t="s">
        <v>28</v>
      </c>
      <c r="IT108" s="4"/>
      <c r="IU108" s="4"/>
      <c r="IV108" s="4"/>
    </row>
    <row r="109" spans="1:256" ht="12.75">
      <c r="A109" s="210"/>
      <c r="B109" s="203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09"/>
      <c r="Q109" s="220"/>
      <c r="R109" s="209"/>
      <c r="S109" s="59"/>
      <c r="T109" s="44" t="s">
        <v>815</v>
      </c>
      <c r="U109" s="43"/>
      <c r="V109" s="43"/>
      <c r="W109" s="43"/>
      <c r="X109" s="36">
        <v>0</v>
      </c>
      <c r="Y109" s="473">
        <f>Y21</f>
        <v>0</v>
      </c>
      <c r="Z109" s="63">
        <f>IF((X109)=0,0,(Y109-X109)/X109)</f>
        <v>0</v>
      </c>
      <c r="AA109" s="6"/>
      <c r="AB109" s="4"/>
      <c r="AC109" s="4"/>
      <c r="AD109" s="4"/>
      <c r="AE109" s="4"/>
      <c r="AF109" s="4"/>
      <c r="AG109" s="4"/>
      <c r="AH109" s="4"/>
      <c r="AI109" s="4"/>
      <c r="AJ109" s="43"/>
      <c r="AK109" s="4"/>
      <c r="AL109" s="43"/>
      <c r="AM109" s="43"/>
      <c r="AN109" s="6" t="s">
        <v>28</v>
      </c>
      <c r="AO109" s="4"/>
      <c r="AP109" s="4"/>
      <c r="AQ109" s="4"/>
      <c r="AR109" s="4"/>
      <c r="AS109" s="4"/>
      <c r="AT109" s="4"/>
      <c r="AU109" s="4"/>
      <c r="AV109" s="4"/>
      <c r="AW109" s="45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3"/>
      <c r="EU109" s="43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6"/>
      <c r="GP109" s="66" t="s">
        <v>816</v>
      </c>
      <c r="GQ109" s="43"/>
      <c r="GR109" s="43"/>
      <c r="GS109" s="71"/>
      <c r="GT109" s="65">
        <v>1</v>
      </c>
      <c r="GU109" s="65">
        <v>250</v>
      </c>
      <c r="GV109" s="45" t="s">
        <v>28</v>
      </c>
      <c r="GW109" s="62">
        <f t="shared" si="123"/>
        <v>250</v>
      </c>
      <c r="GX109" s="80">
        <f t="shared" si="124"/>
        <v>1250</v>
      </c>
      <c r="GY109" s="6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70"/>
      <c r="HP109" s="99" t="s">
        <v>816</v>
      </c>
      <c r="HQ109" s="100"/>
      <c r="HR109" s="100"/>
      <c r="HS109" s="129"/>
      <c r="HT109" s="65">
        <v>0</v>
      </c>
      <c r="HU109" s="65">
        <v>450</v>
      </c>
      <c r="HV109" s="45" t="s">
        <v>28</v>
      </c>
      <c r="HW109" s="62">
        <f>IF(HT109&lt;=0,0,HU109)</f>
        <v>0</v>
      </c>
      <c r="HX109" s="106">
        <f t="shared" si="125"/>
        <v>0</v>
      </c>
      <c r="HY109" s="45"/>
      <c r="HZ109" s="43"/>
      <c r="IA109" s="70"/>
      <c r="IB109" s="59"/>
      <c r="IC109" s="43"/>
      <c r="ID109" s="43"/>
      <c r="IE109" s="71"/>
      <c r="IF109" s="71"/>
      <c r="IG109" s="65"/>
      <c r="IH109" s="45" t="s">
        <v>28</v>
      </c>
      <c r="II109" s="65"/>
      <c r="IJ109" s="106"/>
      <c r="IK109" s="94"/>
      <c r="IL109" s="4"/>
      <c r="IM109" s="13"/>
      <c r="IN109" s="13"/>
      <c r="IO109" s="13"/>
      <c r="IP109" s="13"/>
      <c r="IQ109" s="4"/>
      <c r="IR109" s="4"/>
      <c r="IS109" s="6" t="s">
        <v>28</v>
      </c>
      <c r="IT109" s="4"/>
      <c r="IU109" s="4"/>
      <c r="IV109" s="4"/>
    </row>
    <row r="110" spans="1:256" ht="12.75">
      <c r="A110" s="210"/>
      <c r="B110" s="203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30"/>
      <c r="N110" s="30"/>
      <c r="O110" s="220"/>
      <c r="P110" s="209"/>
      <c r="Q110" s="220"/>
      <c r="R110" s="209"/>
      <c r="S110" s="59"/>
      <c r="T110" s="44" t="s">
        <v>424</v>
      </c>
      <c r="U110" s="43"/>
      <c r="V110" s="43"/>
      <c r="W110" s="43"/>
      <c r="X110" s="62">
        <v>0</v>
      </c>
      <c r="Y110" s="473">
        <f>Y31</f>
        <v>0</v>
      </c>
      <c r="Z110" s="63">
        <f>IF((X110)=0,0,(Y110-X110)/X110)</f>
        <v>0</v>
      </c>
      <c r="AA110" s="6"/>
      <c r="AB110" s="4"/>
      <c r="AC110" s="4"/>
      <c r="AD110" s="4"/>
      <c r="AE110" s="4"/>
      <c r="AF110" s="4"/>
      <c r="AG110" s="4"/>
      <c r="AH110" s="4"/>
      <c r="AI110" s="4"/>
      <c r="AJ110" s="43"/>
      <c r="AK110" s="4"/>
      <c r="AL110" s="43"/>
      <c r="AM110" s="43"/>
      <c r="AN110" s="6" t="s">
        <v>28</v>
      </c>
      <c r="AO110" s="4"/>
      <c r="AP110" s="4"/>
      <c r="AQ110" s="4"/>
      <c r="AR110" s="4"/>
      <c r="AS110" s="4"/>
      <c r="AT110" s="4"/>
      <c r="AU110" s="4"/>
      <c r="AV110" s="4"/>
      <c r="AW110" s="45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3"/>
      <c r="EU110" s="43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6"/>
      <c r="GP110" s="66" t="s">
        <v>817</v>
      </c>
      <c r="GQ110" s="43"/>
      <c r="GR110" s="43"/>
      <c r="GS110" s="43"/>
      <c r="GT110" s="65">
        <v>1</v>
      </c>
      <c r="GU110" s="65">
        <v>1200</v>
      </c>
      <c r="GV110" s="45" t="s">
        <v>28</v>
      </c>
      <c r="GW110" s="62">
        <f t="shared" si="123"/>
        <v>1200</v>
      </c>
      <c r="GX110" s="80">
        <f t="shared" si="124"/>
        <v>6000</v>
      </c>
      <c r="GY110" s="6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70"/>
      <c r="HP110" s="99" t="s">
        <v>817</v>
      </c>
      <c r="HQ110" s="100"/>
      <c r="HR110" s="100"/>
      <c r="HS110" s="100"/>
      <c r="HT110" s="65">
        <v>1</v>
      </c>
      <c r="HU110" s="65">
        <v>1200</v>
      </c>
      <c r="HV110" s="45" t="s">
        <v>28</v>
      </c>
      <c r="HW110" s="62">
        <f>IF(HT110&lt;=0,0,HU110)</f>
        <v>1200</v>
      </c>
      <c r="HX110" s="106">
        <f t="shared" si="125"/>
        <v>6000</v>
      </c>
      <c r="HY110" s="45"/>
      <c r="HZ110" s="43"/>
      <c r="IA110" s="70"/>
      <c r="IB110" s="59"/>
      <c r="IC110" s="43"/>
      <c r="ID110" s="43"/>
      <c r="IE110" s="71"/>
      <c r="IF110" s="71"/>
      <c r="IG110" s="65"/>
      <c r="IH110" s="45" t="s">
        <v>28</v>
      </c>
      <c r="II110" s="65"/>
      <c r="IJ110" s="106"/>
      <c r="IK110" s="94"/>
      <c r="IL110" s="4"/>
      <c r="IM110" s="13"/>
      <c r="IN110" s="13"/>
      <c r="IO110" s="13"/>
      <c r="IP110" s="13"/>
      <c r="IQ110" s="4"/>
      <c r="IR110" s="4"/>
      <c r="IS110" s="6" t="s">
        <v>28</v>
      </c>
      <c r="IT110" s="4"/>
      <c r="IU110" s="4"/>
      <c r="IV110" s="4"/>
    </row>
    <row r="111" spans="1:256" ht="12.75">
      <c r="A111" s="210"/>
      <c r="B111" s="203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09"/>
      <c r="Q111" s="220"/>
      <c r="R111" s="209"/>
      <c r="S111" s="59"/>
      <c r="T111" s="44" t="s">
        <v>437</v>
      </c>
      <c r="U111" s="43"/>
      <c r="V111" s="43"/>
      <c r="W111" s="43"/>
      <c r="X111" s="62">
        <v>0</v>
      </c>
      <c r="Y111" s="317">
        <f>Y32</f>
        <v>6619.313999999999</v>
      </c>
      <c r="Z111" s="63">
        <f>IF((X111)=0,0,(Y111-X111)/X111)</f>
        <v>0</v>
      </c>
      <c r="AA111" s="6"/>
      <c r="AB111" s="4"/>
      <c r="AC111" s="4"/>
      <c r="AD111" s="4"/>
      <c r="AE111" s="4"/>
      <c r="AF111" s="4"/>
      <c r="AG111" s="4"/>
      <c r="AH111" s="4"/>
      <c r="AI111" s="4"/>
      <c r="AJ111" s="43"/>
      <c r="AK111" s="4"/>
      <c r="AL111" s="43"/>
      <c r="AM111" s="43"/>
      <c r="AN111" s="6" t="s">
        <v>28</v>
      </c>
      <c r="AO111" s="4"/>
      <c r="AP111" s="4"/>
      <c r="AQ111" s="4"/>
      <c r="AR111" s="4"/>
      <c r="AS111" s="4"/>
      <c r="AT111" s="4"/>
      <c r="AU111" s="4"/>
      <c r="AV111" s="4"/>
      <c r="AW111" s="45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3"/>
      <c r="EU111" s="43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6"/>
      <c r="GP111" s="66" t="s">
        <v>818</v>
      </c>
      <c r="GQ111" s="43"/>
      <c r="GR111" s="43"/>
      <c r="GS111" s="43"/>
      <c r="GT111" s="65">
        <v>1</v>
      </c>
      <c r="GU111" s="65">
        <v>500</v>
      </c>
      <c r="GV111" s="45" t="s">
        <v>28</v>
      </c>
      <c r="GW111" s="62">
        <f t="shared" si="123"/>
        <v>500</v>
      </c>
      <c r="GX111" s="80">
        <f t="shared" si="124"/>
        <v>2500</v>
      </c>
      <c r="GY111" s="6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70"/>
      <c r="HP111" s="99" t="s">
        <v>818</v>
      </c>
      <c r="HQ111" s="100"/>
      <c r="HR111" s="100"/>
      <c r="HS111" s="100"/>
      <c r="HT111" s="65">
        <v>1</v>
      </c>
      <c r="HU111" s="65">
        <v>500</v>
      </c>
      <c r="HV111" s="45" t="s">
        <v>28</v>
      </c>
      <c r="HW111" s="62">
        <f>IF(HT111&lt;=0,0,HU111)</f>
        <v>500</v>
      </c>
      <c r="HX111" s="106">
        <f t="shared" si="125"/>
        <v>2500</v>
      </c>
      <c r="HY111" s="45"/>
      <c r="HZ111" s="43"/>
      <c r="IA111" s="70"/>
      <c r="IB111" s="59"/>
      <c r="IC111" s="43"/>
      <c r="ID111" s="43"/>
      <c r="IE111" s="71"/>
      <c r="IF111" s="71"/>
      <c r="IG111" s="65"/>
      <c r="IH111" s="45" t="s">
        <v>28</v>
      </c>
      <c r="II111" s="65"/>
      <c r="IJ111" s="106"/>
      <c r="IK111" s="94"/>
      <c r="IL111" s="4"/>
      <c r="IM111" s="13"/>
      <c r="IN111" s="13"/>
      <c r="IO111" s="13"/>
      <c r="IP111" s="13"/>
      <c r="IQ111" s="4"/>
      <c r="IR111" s="4"/>
      <c r="IS111" s="6" t="s">
        <v>28</v>
      </c>
      <c r="IT111" s="4"/>
      <c r="IU111" s="4"/>
      <c r="IV111" s="4"/>
    </row>
    <row r="112" spans="1:256" ht="12.75">
      <c r="A112" s="210"/>
      <c r="B112" s="203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35"/>
      <c r="N112" s="235"/>
      <c r="O112" s="220"/>
      <c r="P112" s="209"/>
      <c r="Q112" s="220"/>
      <c r="R112" s="209"/>
      <c r="S112" s="59"/>
      <c r="T112" s="44" t="s">
        <v>819</v>
      </c>
      <c r="U112" s="43"/>
      <c r="V112" s="43"/>
      <c r="W112" s="43"/>
      <c r="X112" s="37">
        <f>IF(X83&lt;=0,(X79*0.1+X108*0.1),(X79*0.1+X83*0.1))</f>
        <v>0</v>
      </c>
      <c r="Y112" s="473">
        <f>Y34</f>
        <v>2025.546</v>
      </c>
      <c r="Z112" s="63">
        <f>IF((X105)=0,0,(Y105-X105)/X105)</f>
        <v>0</v>
      </c>
      <c r="AA112" s="6"/>
      <c r="AB112" s="4"/>
      <c r="AC112" s="4"/>
      <c r="AD112" s="4"/>
      <c r="AE112" s="4"/>
      <c r="AF112" s="4"/>
      <c r="AG112" s="4"/>
      <c r="AH112" s="4"/>
      <c r="AI112" s="4"/>
      <c r="AJ112" s="43"/>
      <c r="AK112" s="4"/>
      <c r="AL112" s="43"/>
      <c r="AM112" s="43"/>
      <c r="AN112" s="6" t="s">
        <v>28</v>
      </c>
      <c r="AO112" s="4"/>
      <c r="AP112" s="4"/>
      <c r="AQ112" s="4"/>
      <c r="AR112" s="4"/>
      <c r="AS112" s="4"/>
      <c r="AT112" s="4"/>
      <c r="AU112" s="4"/>
      <c r="AV112" s="4"/>
      <c r="AW112" s="45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3"/>
      <c r="EU112" s="43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6"/>
      <c r="GP112" s="66"/>
      <c r="GQ112" s="43"/>
      <c r="GR112" s="43"/>
      <c r="GS112" s="44"/>
      <c r="GT112" s="44"/>
      <c r="GU112" s="43"/>
      <c r="GV112" s="45"/>
      <c r="GW112" s="85"/>
      <c r="GX112" s="86"/>
      <c r="GY112" s="6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70"/>
      <c r="HP112" s="44"/>
      <c r="HQ112" s="43"/>
      <c r="HR112" s="43"/>
      <c r="HS112" s="44"/>
      <c r="HT112" s="44"/>
      <c r="HU112" s="43"/>
      <c r="HV112" s="45"/>
      <c r="HW112" s="85"/>
      <c r="HX112" s="130"/>
      <c r="HY112" s="45"/>
      <c r="HZ112" s="43"/>
      <c r="IA112" s="70"/>
      <c r="IB112" s="66"/>
      <c r="IC112" s="43"/>
      <c r="ID112" s="43"/>
      <c r="IE112" s="44"/>
      <c r="IF112" s="44"/>
      <c r="IG112" s="43"/>
      <c r="IH112" s="45"/>
      <c r="II112" s="85"/>
      <c r="IJ112" s="130"/>
      <c r="IK112" s="94"/>
      <c r="IL112" s="5"/>
      <c r="IM112" s="13"/>
      <c r="IN112" s="13"/>
      <c r="IO112" s="13"/>
      <c r="IP112" s="10"/>
      <c r="IQ112" s="4"/>
      <c r="IR112" s="4"/>
      <c r="IS112" s="6"/>
      <c r="IT112" s="4"/>
      <c r="IU112" s="4"/>
      <c r="IV112" s="4"/>
    </row>
    <row r="113" spans="1:256" ht="12.75">
      <c r="A113" s="210"/>
      <c r="B113" s="203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09"/>
      <c r="Q113" s="220"/>
      <c r="R113" s="209"/>
      <c r="S113" s="59"/>
      <c r="T113" s="43"/>
      <c r="U113" s="43"/>
      <c r="V113" s="43"/>
      <c r="W113" s="43"/>
      <c r="X113" s="36"/>
      <c r="Y113" s="43"/>
      <c r="Z113" s="46"/>
      <c r="AA113" s="6"/>
      <c r="AB113" s="4"/>
      <c r="AC113" s="4"/>
      <c r="AD113" s="4"/>
      <c r="AE113" s="4"/>
      <c r="AF113" s="4"/>
      <c r="AG113" s="4"/>
      <c r="AH113" s="4"/>
      <c r="AI113" s="4"/>
      <c r="AJ113" s="43"/>
      <c r="AK113" s="4"/>
      <c r="AL113" s="43"/>
      <c r="AM113" s="43"/>
      <c r="AN113" s="6" t="s">
        <v>28</v>
      </c>
      <c r="AO113" s="4"/>
      <c r="AP113" s="4"/>
      <c r="AQ113" s="4"/>
      <c r="AR113" s="4"/>
      <c r="AS113" s="4"/>
      <c r="AT113" s="4"/>
      <c r="AU113" s="4"/>
      <c r="AV113" s="4"/>
      <c r="AW113" s="45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3"/>
      <c r="EU113" s="43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6"/>
      <c r="GP113" s="66" t="s">
        <v>820</v>
      </c>
      <c r="GQ113" s="43"/>
      <c r="GR113" s="65">
        <f>SUM(GR71:GR93)</f>
        <v>22</v>
      </c>
      <c r="GS113" s="65">
        <f>SUM(GS71:GS93)</f>
        <v>0</v>
      </c>
      <c r="GT113" s="65">
        <f>SUM(GT71:GT93)</f>
        <v>0</v>
      </c>
      <c r="GU113" s="65">
        <f>SUM(GU71:GU93)</f>
        <v>0</v>
      </c>
      <c r="GV113" s="45" t="s">
        <v>28</v>
      </c>
      <c r="GW113" s="108">
        <f>(GW95+GW96+GW97+GW98+GW99)</f>
        <v>8360</v>
      </c>
      <c r="GX113" s="109">
        <f>(GX95+GX96+GX97+GX98+GX99)</f>
        <v>41800</v>
      </c>
      <c r="GY113" s="6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70"/>
      <c r="HP113" s="44" t="s">
        <v>820</v>
      </c>
      <c r="HQ113" s="43"/>
      <c r="HR113" s="108">
        <f>SUM(HP71:HP93)</f>
        <v>8</v>
      </c>
      <c r="HS113" s="108">
        <f>SUM(HS71:HS93)</f>
        <v>86.13000000000001</v>
      </c>
      <c r="HT113" s="108">
        <f>SUM(HT71:HT93)</f>
        <v>314</v>
      </c>
      <c r="HU113" s="108">
        <f>SUM(HU71:HU93)</f>
        <v>324</v>
      </c>
      <c r="HV113" s="172" t="s">
        <v>28</v>
      </c>
      <c r="HW113" s="108">
        <f>(HW95+HW96+HW97+HW98+HW99)</f>
        <v>4214.106</v>
      </c>
      <c r="HX113" s="107">
        <f>(HX95+HX96+HX97+HX98+HX99)</f>
        <v>21070.53</v>
      </c>
      <c r="HY113" s="45"/>
      <c r="HZ113" s="43"/>
      <c r="IA113" s="70"/>
      <c r="IB113" s="59"/>
      <c r="IC113" s="44" t="s">
        <v>647</v>
      </c>
      <c r="ID113" s="338">
        <f>(A171)</f>
        <v>0</v>
      </c>
      <c r="IE113" s="44" t="s">
        <v>648</v>
      </c>
      <c r="IF113" s="346">
        <f>(II113-ID113)</f>
        <v>2038</v>
      </c>
      <c r="IG113" s="44" t="s">
        <v>649</v>
      </c>
      <c r="IH113" s="45" t="s">
        <v>28</v>
      </c>
      <c r="II113" s="346">
        <f>SUM(II71:II111)</f>
        <v>2038</v>
      </c>
      <c r="IJ113" s="458">
        <f>SUM(IJ71:IJ111)</f>
        <v>10190</v>
      </c>
      <c r="IK113" s="94"/>
      <c r="IL113" s="11">
        <f aca="true" t="shared" si="126" ref="IL113:IR113">SUM(IL61:IL111)</f>
        <v>2710</v>
      </c>
      <c r="IM113" s="13">
        <f t="shared" si="126"/>
        <v>1040</v>
      </c>
      <c r="IN113" s="13">
        <f t="shared" si="126"/>
        <v>595</v>
      </c>
      <c r="IO113" s="13">
        <f t="shared" si="126"/>
        <v>983.8199999999999</v>
      </c>
      <c r="IP113" s="13">
        <f t="shared" si="126"/>
        <v>2457.7439999999997</v>
      </c>
      <c r="IQ113" s="11">
        <f t="shared" si="126"/>
        <v>755</v>
      </c>
      <c r="IR113" s="11">
        <f t="shared" si="126"/>
        <v>0</v>
      </c>
      <c r="IS113" s="6" t="s">
        <v>28</v>
      </c>
      <c r="IT113" s="4"/>
      <c r="IU113" s="4"/>
      <c r="IV113" s="4"/>
    </row>
    <row r="114" spans="1:256" ht="13.5" thickBot="1">
      <c r="A114" s="210"/>
      <c r="B114" s="203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09"/>
      <c r="Q114" s="220"/>
      <c r="R114" s="209"/>
      <c r="S114" s="59"/>
      <c r="T114" s="43"/>
      <c r="U114" s="43"/>
      <c r="V114" s="43"/>
      <c r="W114" s="43"/>
      <c r="X114" s="43"/>
      <c r="Y114" s="43"/>
      <c r="Z114" s="46"/>
      <c r="AA114" s="6"/>
      <c r="AB114" s="4"/>
      <c r="AC114" s="4"/>
      <c r="AD114" s="4"/>
      <c r="AE114" s="4"/>
      <c r="AF114" s="4"/>
      <c r="AG114" s="4"/>
      <c r="AH114" s="4"/>
      <c r="AI114" s="4"/>
      <c r="AJ114" s="43"/>
      <c r="AK114" s="4"/>
      <c r="AL114" s="43"/>
      <c r="AM114" s="43"/>
      <c r="AN114" s="6" t="s">
        <v>28</v>
      </c>
      <c r="AO114" s="4"/>
      <c r="AP114" s="4"/>
      <c r="AQ114" s="4"/>
      <c r="AR114" s="4"/>
      <c r="AS114" s="4"/>
      <c r="AT114" s="4"/>
      <c r="AU114" s="4"/>
      <c r="AV114" s="4"/>
      <c r="AW114" s="45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3"/>
      <c r="EU114" s="43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6"/>
      <c r="GP114" s="139"/>
      <c r="GQ114" s="68"/>
      <c r="GR114" s="68"/>
      <c r="GS114" s="68"/>
      <c r="GT114" s="68"/>
      <c r="GU114" s="68"/>
      <c r="GV114" s="68"/>
      <c r="GW114" s="50"/>
      <c r="GX114" s="140"/>
      <c r="GY114" s="6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70"/>
      <c r="HP114" s="44"/>
      <c r="HQ114" s="44"/>
      <c r="HR114" s="44"/>
      <c r="HS114" s="44"/>
      <c r="HT114" s="44"/>
      <c r="HU114" s="44"/>
      <c r="HV114" s="44"/>
      <c r="HW114" s="43"/>
      <c r="HX114" s="130"/>
      <c r="HY114" s="45"/>
      <c r="HZ114" s="43"/>
      <c r="IA114" s="70"/>
      <c r="IB114" s="66"/>
      <c r="IC114" s="44"/>
      <c r="ID114" s="44"/>
      <c r="IE114" s="44"/>
      <c r="IF114" s="44"/>
      <c r="IG114" s="44"/>
      <c r="IH114" s="44"/>
      <c r="II114" s="43"/>
      <c r="IJ114" s="130"/>
      <c r="IK114" s="94"/>
      <c r="IL114" s="4"/>
      <c r="IM114" s="13"/>
      <c r="IN114" s="13"/>
      <c r="IO114" s="13"/>
      <c r="IP114" s="13"/>
      <c r="IQ114" s="4"/>
      <c r="IR114" s="4"/>
      <c r="IS114" s="6"/>
      <c r="IT114" s="4"/>
      <c r="IU114" s="4"/>
      <c r="IV114" s="4"/>
    </row>
    <row r="115" spans="1:256" ht="12.75">
      <c r="A115" s="210"/>
      <c r="B115" s="203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09"/>
      <c r="Q115" s="220"/>
      <c r="R115" s="209"/>
      <c r="S115" s="66"/>
      <c r="T115" s="43"/>
      <c r="U115" s="43"/>
      <c r="V115" s="43"/>
      <c r="W115" s="43"/>
      <c r="X115" s="65"/>
      <c r="Y115" s="65"/>
      <c r="Z115" s="46"/>
      <c r="AA115" s="6"/>
      <c r="AB115" s="4"/>
      <c r="AC115" s="4"/>
      <c r="AD115" s="4"/>
      <c r="AE115" s="4"/>
      <c r="AF115" s="4"/>
      <c r="AG115" s="4"/>
      <c r="AH115" s="4"/>
      <c r="AI115" s="4"/>
      <c r="AJ115" s="43"/>
      <c r="AK115" s="4"/>
      <c r="AL115" s="43"/>
      <c r="AM115" s="43"/>
      <c r="AN115" s="6" t="s">
        <v>28</v>
      </c>
      <c r="AO115" s="4"/>
      <c r="AP115" s="4"/>
      <c r="AQ115" s="4"/>
      <c r="AR115" s="4"/>
      <c r="AS115" s="4"/>
      <c r="AT115" s="4"/>
      <c r="AU115" s="4"/>
      <c r="AV115" s="4"/>
      <c r="AW115" s="45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3"/>
      <c r="EU115" s="43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5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66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66"/>
      <c r="IB115" s="59"/>
      <c r="IC115" s="43"/>
      <c r="ID115" s="43"/>
      <c r="IE115" s="43"/>
      <c r="IF115" s="43"/>
      <c r="IG115" s="43"/>
      <c r="IH115" s="43"/>
      <c r="II115" s="43"/>
      <c r="IJ115" s="135"/>
      <c r="IK115" s="94"/>
      <c r="IL115" s="4"/>
      <c r="IM115" s="13"/>
      <c r="IN115" s="10" t="s">
        <v>821</v>
      </c>
      <c r="IO115" s="13"/>
      <c r="IP115" s="13"/>
      <c r="IQ115" s="4"/>
      <c r="IR115" s="4"/>
      <c r="IS115" s="6" t="s">
        <v>28</v>
      </c>
      <c r="IT115" s="4"/>
      <c r="IU115" s="4"/>
      <c r="IV115" s="4"/>
    </row>
    <row r="116" spans="1:256" ht="12.75">
      <c r="A116" s="210"/>
      <c r="B116" s="203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09"/>
      <c r="Q116" s="220"/>
      <c r="R116" s="209"/>
      <c r="S116" s="59"/>
      <c r="T116" s="497" t="s">
        <v>596</v>
      </c>
      <c r="U116" s="361"/>
      <c r="V116" s="361"/>
      <c r="W116" s="361"/>
      <c r="X116" s="362"/>
      <c r="Y116" s="369" t="s">
        <v>132</v>
      </c>
      <c r="Z116" s="363" t="s">
        <v>597</v>
      </c>
      <c r="AA116" s="6"/>
      <c r="AB116" s="4"/>
      <c r="AC116" s="4"/>
      <c r="AD116" s="4"/>
      <c r="AE116" s="4"/>
      <c r="AF116" s="4"/>
      <c r="AG116" s="4"/>
      <c r="AH116" s="4"/>
      <c r="AI116" s="4"/>
      <c r="AJ116" s="43"/>
      <c r="AK116" s="4"/>
      <c r="AL116" s="43"/>
      <c r="AM116" s="43"/>
      <c r="AN116" s="6" t="s">
        <v>28</v>
      </c>
      <c r="AO116" s="4"/>
      <c r="AP116" s="4"/>
      <c r="AQ116" s="4"/>
      <c r="AR116" s="4"/>
      <c r="AS116" s="4"/>
      <c r="AT116" s="4"/>
      <c r="AU116" s="4"/>
      <c r="AV116" s="4"/>
      <c r="AW116" s="45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3"/>
      <c r="EU116" s="43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59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59"/>
      <c r="IB116" s="59"/>
      <c r="IC116" s="43"/>
      <c r="ID116" s="43"/>
      <c r="IE116" s="43"/>
      <c r="IF116" s="43"/>
      <c r="IG116" s="43"/>
      <c r="IH116" s="43"/>
      <c r="II116" s="43"/>
      <c r="IJ116" s="135"/>
      <c r="IK116" s="94"/>
      <c r="IL116" s="4"/>
      <c r="IM116" s="13"/>
      <c r="IN116" s="13"/>
      <c r="IO116" s="13"/>
      <c r="IP116" s="13"/>
      <c r="IQ116" s="4"/>
      <c r="IR116" s="4"/>
      <c r="IS116" s="6" t="s">
        <v>28</v>
      </c>
      <c r="IT116" s="4"/>
      <c r="IU116" s="4"/>
      <c r="IV116" s="4"/>
    </row>
    <row r="117" spans="2:256" ht="13.5" thickBot="1">
      <c r="B117" s="203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09"/>
      <c r="Q117" s="220"/>
      <c r="R117" s="209"/>
      <c r="S117" s="59"/>
      <c r="T117" s="364"/>
      <c r="U117" s="498" t="s">
        <v>604</v>
      </c>
      <c r="V117" s="499"/>
      <c r="W117" s="261"/>
      <c r="X117" s="350">
        <f>(X74+X76)</f>
        <v>0</v>
      </c>
      <c r="Y117" s="350">
        <f>(Y74+Y102)</f>
        <v>53140</v>
      </c>
      <c r="Z117" s="365">
        <f aca="true" t="shared" si="127" ref="Z117:Z122">(Y117/$BD$2)/($L$100)*1000</f>
        <v>725.9562841530054</v>
      </c>
      <c r="AA117" s="6"/>
      <c r="AB117" s="4"/>
      <c r="AC117" s="4"/>
      <c r="AD117" s="4"/>
      <c r="AE117" s="4"/>
      <c r="AF117" s="4"/>
      <c r="AG117" s="4"/>
      <c r="AH117" s="4"/>
      <c r="AI117" s="4"/>
      <c r="AJ117" s="43"/>
      <c r="AK117" s="4"/>
      <c r="AL117" s="43"/>
      <c r="AM117" s="43"/>
      <c r="AN117" s="6" t="s">
        <v>28</v>
      </c>
      <c r="AO117" s="4"/>
      <c r="AP117" s="7" t="s">
        <v>822</v>
      </c>
      <c r="AQ117" s="4"/>
      <c r="AR117" s="4"/>
      <c r="AS117" s="4"/>
      <c r="AT117" s="5" t="s">
        <v>823</v>
      </c>
      <c r="AU117" s="4"/>
      <c r="AV117" s="4"/>
      <c r="AW117" s="45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3"/>
      <c r="EU117" s="43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162"/>
      <c r="HP117" s="68"/>
      <c r="HQ117" s="68"/>
      <c r="HR117" s="68"/>
      <c r="HS117" s="68"/>
      <c r="HT117" s="68"/>
      <c r="HU117" s="68"/>
      <c r="HV117" s="68"/>
      <c r="HW117" s="50"/>
      <c r="HX117" s="68"/>
      <c r="HY117" s="163"/>
      <c r="HZ117" s="50"/>
      <c r="IA117" s="67"/>
      <c r="IB117" s="67"/>
      <c r="IC117" s="50"/>
      <c r="ID117" s="50"/>
      <c r="IE117" s="50"/>
      <c r="IF117" s="50"/>
      <c r="IG117" s="50"/>
      <c r="IH117" s="50"/>
      <c r="II117" s="50"/>
      <c r="IJ117" s="50"/>
      <c r="IK117" s="159"/>
      <c r="IL117" s="10"/>
      <c r="IM117" s="13"/>
      <c r="IN117" s="13"/>
      <c r="IO117" s="4"/>
      <c r="IP117" s="4"/>
      <c r="IQ117" s="4"/>
      <c r="IR117" s="4"/>
      <c r="IS117" s="6"/>
      <c r="IT117" s="4"/>
      <c r="IU117" s="4"/>
      <c r="IV117" s="4"/>
    </row>
    <row r="118" spans="2:256" ht="15.75">
      <c r="B118" s="21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09"/>
      <c r="S118" s="59"/>
      <c r="T118" s="364"/>
      <c r="U118" s="500" t="s">
        <v>612</v>
      </c>
      <c r="V118" s="501"/>
      <c r="W118" s="261"/>
      <c r="X118" s="350">
        <f>(X79+X83+X112+X72+X95+X91)</f>
        <v>0</v>
      </c>
      <c r="Y118" s="350">
        <f>(Y79+Y83+Y107)</f>
        <v>62686.54209727999</v>
      </c>
      <c r="Z118" s="365">
        <f t="shared" si="127"/>
        <v>856.3735259191257</v>
      </c>
      <c r="AA118" s="6"/>
      <c r="AB118" s="4"/>
      <c r="AC118" s="4"/>
      <c r="AD118" s="4"/>
      <c r="AE118" s="4"/>
      <c r="AF118" s="4"/>
      <c r="AG118" s="4"/>
      <c r="AH118" s="4"/>
      <c r="AI118" s="4"/>
      <c r="AJ118" s="43"/>
      <c r="AK118" s="4"/>
      <c r="AL118" s="43"/>
      <c r="AM118" s="43"/>
      <c r="AN118" s="6" t="s">
        <v>28</v>
      </c>
      <c r="AO118" s="4"/>
      <c r="AP118" s="4"/>
      <c r="AQ118" s="4"/>
      <c r="AR118" s="4"/>
      <c r="AS118" s="4"/>
      <c r="AT118" s="4"/>
      <c r="AU118" s="4"/>
      <c r="AV118" s="4"/>
      <c r="AW118" s="45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3"/>
      <c r="EU118" s="43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6"/>
      <c r="HP118" s="34" t="s">
        <v>2</v>
      </c>
      <c r="HQ118" s="33" t="s">
        <v>824</v>
      </c>
      <c r="HR118" s="31"/>
      <c r="HS118" s="31"/>
      <c r="HT118" s="4"/>
      <c r="HU118" s="4"/>
      <c r="HV118" s="4"/>
      <c r="HW118" s="4"/>
      <c r="HX118" s="5" t="s">
        <v>825</v>
      </c>
      <c r="HY118" s="6"/>
      <c r="HZ118" s="4"/>
      <c r="IA118" s="4"/>
      <c r="IB118" s="4"/>
      <c r="IC118" s="4"/>
      <c r="ID118" s="4"/>
      <c r="IE118" s="4"/>
      <c r="IF118" s="4"/>
      <c r="IG118" s="11">
        <f>28000*150/1000</f>
        <v>4200</v>
      </c>
      <c r="IH118" s="4"/>
      <c r="II118" s="4"/>
      <c r="IJ118" s="4"/>
      <c r="IK118" s="6"/>
      <c r="IL118" s="4"/>
      <c r="IM118" s="13"/>
      <c r="IN118" s="13"/>
      <c r="IO118" s="13"/>
      <c r="IP118" s="13"/>
      <c r="IQ118" s="4"/>
      <c r="IR118" s="4"/>
      <c r="IS118" s="6" t="s">
        <v>28</v>
      </c>
      <c r="IT118" s="4"/>
      <c r="IU118" s="4"/>
      <c r="IV118" s="4"/>
    </row>
    <row r="119" spans="3:256" ht="12.75"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09"/>
      <c r="S119" s="59"/>
      <c r="T119" s="364"/>
      <c r="U119" s="500" t="s">
        <v>621</v>
      </c>
      <c r="V119" s="501"/>
      <c r="W119" s="261"/>
      <c r="X119" s="350">
        <f>(X95)</f>
        <v>0</v>
      </c>
      <c r="Y119" s="350">
        <f>(Y95)</f>
        <v>7525.8060000000005</v>
      </c>
      <c r="Z119" s="365">
        <f t="shared" si="127"/>
        <v>102.81155737704918</v>
      </c>
      <c r="AA119" s="6"/>
      <c r="AB119" s="4"/>
      <c r="AC119" s="4"/>
      <c r="AD119" s="4"/>
      <c r="AE119" s="4"/>
      <c r="AF119" s="4"/>
      <c r="AG119" s="4"/>
      <c r="AH119" s="4"/>
      <c r="AI119" s="4"/>
      <c r="AJ119" s="43"/>
      <c r="AK119" s="4"/>
      <c r="AL119" s="43"/>
      <c r="AM119" s="43"/>
      <c r="AN119" s="6" t="s">
        <v>28</v>
      </c>
      <c r="AO119" s="4"/>
      <c r="AP119" s="5" t="s">
        <v>826</v>
      </c>
      <c r="AQ119" s="4"/>
      <c r="AR119" s="4"/>
      <c r="AS119" s="26" t="s">
        <v>827</v>
      </c>
      <c r="AT119" s="26" t="s">
        <v>827</v>
      </c>
      <c r="AU119" s="26" t="s">
        <v>827</v>
      </c>
      <c r="AV119" s="4"/>
      <c r="AW119" s="45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3"/>
      <c r="EU119" s="43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6"/>
      <c r="HP119" s="4"/>
      <c r="HQ119" s="9" t="s">
        <v>828</v>
      </c>
      <c r="HR119" s="4"/>
      <c r="HS119" s="4"/>
      <c r="HT119" s="4"/>
      <c r="HU119" s="4"/>
      <c r="HV119" s="4"/>
      <c r="HW119" s="4"/>
      <c r="HX119" s="4"/>
      <c r="HY119" s="6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6"/>
      <c r="IL119" s="5" t="s">
        <v>829</v>
      </c>
      <c r="IM119" s="10" t="s">
        <v>829</v>
      </c>
      <c r="IN119" s="10" t="s">
        <v>829</v>
      </c>
      <c r="IO119" s="10" t="s">
        <v>829</v>
      </c>
      <c r="IP119" s="10" t="s">
        <v>829</v>
      </c>
      <c r="IQ119" s="5" t="s">
        <v>829</v>
      </c>
      <c r="IR119" s="5" t="s">
        <v>829</v>
      </c>
      <c r="IS119" s="6" t="s">
        <v>28</v>
      </c>
      <c r="IT119" s="4"/>
      <c r="IU119" s="4"/>
      <c r="IV119" s="4"/>
    </row>
    <row r="120" spans="3:256" ht="12.75"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09"/>
      <c r="S120" s="59"/>
      <c r="T120" s="364"/>
      <c r="U120" s="500" t="s">
        <v>630</v>
      </c>
      <c r="V120" s="501"/>
      <c r="W120" s="261"/>
      <c r="X120" s="350">
        <f>(X72)</f>
        <v>0</v>
      </c>
      <c r="Y120" s="350">
        <f>(Y72)</f>
        <v>6000</v>
      </c>
      <c r="Z120" s="365">
        <f t="shared" si="127"/>
        <v>81.96721311475409</v>
      </c>
      <c r="AA120" s="6"/>
      <c r="AB120" s="4"/>
      <c r="AC120" s="4"/>
      <c r="AD120" s="4"/>
      <c r="AE120" s="4"/>
      <c r="AF120" s="4"/>
      <c r="AG120" s="4"/>
      <c r="AH120" s="4"/>
      <c r="AI120" s="4"/>
      <c r="AJ120" s="43"/>
      <c r="AK120" s="4"/>
      <c r="AL120" s="43"/>
      <c r="AM120" s="43"/>
      <c r="AN120" s="6" t="s">
        <v>28</v>
      </c>
      <c r="AO120" s="4"/>
      <c r="AP120" s="4"/>
      <c r="AQ120" s="4"/>
      <c r="AR120" s="4"/>
      <c r="AS120" s="4"/>
      <c r="AT120" s="4"/>
      <c r="AU120" s="4"/>
      <c r="AV120" s="4"/>
      <c r="AW120" s="45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3"/>
      <c r="EU120" s="43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6"/>
      <c r="HP120" s="4"/>
      <c r="HQ120" s="5" t="s">
        <v>830</v>
      </c>
      <c r="HR120" s="4"/>
      <c r="HS120" s="4"/>
      <c r="HT120" s="22">
        <f>(AB173)</f>
        <v>0</v>
      </c>
      <c r="HU120" s="4"/>
      <c r="HV120" s="4"/>
      <c r="HW120" s="5" t="s">
        <v>831</v>
      </c>
      <c r="HX120" s="4"/>
      <c r="HY120" s="6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13"/>
      <c r="IN120" s="13"/>
      <c r="IO120" s="13"/>
      <c r="IP120" s="13"/>
      <c r="IQ120" s="4"/>
      <c r="IR120" s="4"/>
      <c r="IS120" s="4"/>
      <c r="IT120" s="4"/>
      <c r="IU120" s="4"/>
      <c r="IV120" s="4"/>
    </row>
    <row r="121" spans="3:256" ht="13.5" thickBot="1"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09"/>
      <c r="S121" s="59"/>
      <c r="T121" s="364"/>
      <c r="U121" s="502" t="s">
        <v>832</v>
      </c>
      <c r="V121" s="503"/>
      <c r="W121" s="261"/>
      <c r="X121" s="350"/>
      <c r="Y121" s="350">
        <f>(Y91)</f>
        <v>3230</v>
      </c>
      <c r="Z121" s="365">
        <f t="shared" si="127"/>
        <v>44.12568306010928</v>
      </c>
      <c r="AA121" s="6"/>
      <c r="AB121" s="4"/>
      <c r="AC121" s="4"/>
      <c r="AD121" s="4"/>
      <c r="AE121" s="4"/>
      <c r="AF121" s="4"/>
      <c r="AG121" s="4"/>
      <c r="AH121" s="4"/>
      <c r="AI121" s="4"/>
      <c r="AJ121" s="43"/>
      <c r="AK121" s="4"/>
      <c r="AL121" s="43"/>
      <c r="AM121" s="43"/>
      <c r="AN121" s="6" t="s">
        <v>28</v>
      </c>
      <c r="AO121" s="5" t="s">
        <v>829</v>
      </c>
      <c r="AP121" s="5" t="s">
        <v>829</v>
      </c>
      <c r="AQ121" s="5" t="s">
        <v>829</v>
      </c>
      <c r="AR121" s="5" t="s">
        <v>829</v>
      </c>
      <c r="AS121" s="5" t="s">
        <v>829</v>
      </c>
      <c r="AT121" s="5" t="s">
        <v>829</v>
      </c>
      <c r="AU121" s="5" t="s">
        <v>833</v>
      </c>
      <c r="AV121" s="5" t="s">
        <v>829</v>
      </c>
      <c r="AW121" s="45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3"/>
      <c r="EU121" s="43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6"/>
      <c r="HP121" s="4"/>
      <c r="HQ121" s="5" t="s">
        <v>834</v>
      </c>
      <c r="HR121" s="4"/>
      <c r="HS121" s="4"/>
      <c r="HT121" s="22">
        <v>0</v>
      </c>
      <c r="HU121" s="4"/>
      <c r="HV121" s="4"/>
      <c r="HW121" s="22">
        <f>(HT120-(HT121+HT122))</f>
        <v>0</v>
      </c>
      <c r="HX121" s="23" t="s">
        <v>132</v>
      </c>
      <c r="HY121" s="6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13"/>
      <c r="IN121" s="13"/>
      <c r="IO121" s="13"/>
      <c r="IP121" s="13"/>
      <c r="IQ121" s="4"/>
      <c r="IR121" s="4"/>
      <c r="IS121" s="4"/>
      <c r="IT121" s="4"/>
      <c r="IU121" s="4"/>
      <c r="IV121" s="4"/>
    </row>
    <row r="122" spans="2:256" ht="12.75">
      <c r="B122" s="199"/>
      <c r="C122" s="263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64"/>
      <c r="P122" s="237"/>
      <c r="Q122" s="224"/>
      <c r="R122" s="209"/>
      <c r="S122" s="59"/>
      <c r="T122" s="366"/>
      <c r="U122" s="352"/>
      <c r="V122" s="352"/>
      <c r="W122" s="367" t="s">
        <v>644</v>
      </c>
      <c r="X122" s="368">
        <f>SUM(X117:X121)</f>
        <v>0</v>
      </c>
      <c r="Y122" s="384">
        <f>SUM(Y117:Y121)</f>
        <v>132582.34809728</v>
      </c>
      <c r="Z122" s="385">
        <f t="shared" si="127"/>
        <v>1811.2342636240435</v>
      </c>
      <c r="AA122" s="6"/>
      <c r="AB122" s="4"/>
      <c r="AC122" s="4"/>
      <c r="AD122" s="4"/>
      <c r="AE122" s="4"/>
      <c r="AF122" s="4"/>
      <c r="AG122" s="4"/>
      <c r="AH122" s="4"/>
      <c r="AI122" s="4"/>
      <c r="AJ122" s="43"/>
      <c r="AK122" s="4"/>
      <c r="AL122" s="43"/>
      <c r="AM122" s="43"/>
      <c r="AN122" s="5" t="s">
        <v>835</v>
      </c>
      <c r="AO122" s="4"/>
      <c r="AP122" s="4"/>
      <c r="AQ122" s="4"/>
      <c r="AR122" s="4"/>
      <c r="AS122" s="4"/>
      <c r="AT122" s="4"/>
      <c r="AU122" s="4"/>
      <c r="AV122" s="4"/>
      <c r="AW122" s="43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3"/>
      <c r="EU122" s="43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6"/>
      <c r="HP122" s="4"/>
      <c r="HQ122" s="5" t="s">
        <v>836</v>
      </c>
      <c r="HR122" s="4"/>
      <c r="HS122" s="19"/>
      <c r="HT122" s="22">
        <f>(Y198)*2.18/100</f>
        <v>0</v>
      </c>
      <c r="HU122" s="4"/>
      <c r="HV122" s="4"/>
      <c r="HW122" s="5" t="s">
        <v>837</v>
      </c>
      <c r="HX122" s="15">
        <f>HW121/2</f>
        <v>0</v>
      </c>
      <c r="HY122" s="6"/>
      <c r="HZ122" s="4"/>
      <c r="IA122" s="4"/>
      <c r="IB122" s="4"/>
      <c r="IC122" s="22">
        <f aca="true" t="shared" si="128" ref="IC122:IC143">($HX$122)*4/100</f>
        <v>0</v>
      </c>
      <c r="ID122" s="4"/>
      <c r="IE122" s="4"/>
      <c r="IF122" s="4"/>
      <c r="IG122" s="4"/>
      <c r="IH122" s="4"/>
      <c r="II122" s="4"/>
      <c r="IJ122" s="4"/>
      <c r="IK122" s="4"/>
      <c r="IL122" s="4"/>
      <c r="IM122" s="13"/>
      <c r="IN122" s="13"/>
      <c r="IO122" s="13"/>
      <c r="IP122" s="13"/>
      <c r="IQ122" s="4"/>
      <c r="IR122" s="4"/>
      <c r="IS122" s="4"/>
      <c r="IT122" s="4"/>
      <c r="IU122" s="4"/>
      <c r="IV122" s="4"/>
    </row>
    <row r="123" spans="2:256" ht="12.75">
      <c r="B123" s="204"/>
      <c r="C123" s="245"/>
      <c r="D123"/>
      <c r="E123" s="205"/>
      <c r="F123" s="205"/>
      <c r="G123" s="205"/>
      <c r="H123" s="205"/>
      <c r="I123" s="205"/>
      <c r="J123" s="205"/>
      <c r="K123" s="205"/>
      <c r="L123" s="205"/>
      <c r="M123" s="226" t="s">
        <v>838</v>
      </c>
      <c r="N123" s="226"/>
      <c r="O123" s="265" t="s">
        <v>123</v>
      </c>
      <c r="P123" s="207"/>
      <c r="Q123" s="208"/>
      <c r="R123" s="209"/>
      <c r="S123" s="66"/>
      <c r="T123" s="44"/>
      <c r="U123" s="44"/>
      <c r="V123" s="44"/>
      <c r="W123" s="44"/>
      <c r="X123" s="44"/>
      <c r="Y123" s="44"/>
      <c r="Z123" s="48"/>
      <c r="AA123" s="6"/>
      <c r="AB123" s="4"/>
      <c r="AC123" s="4"/>
      <c r="AD123" s="4"/>
      <c r="AE123" s="4"/>
      <c r="AF123" s="4"/>
      <c r="AG123" s="4"/>
      <c r="AH123" s="4"/>
      <c r="AI123" s="4"/>
      <c r="AJ123" s="43"/>
      <c r="AK123" s="4"/>
      <c r="AL123" s="43"/>
      <c r="AM123" s="43"/>
      <c r="AN123" s="4"/>
      <c r="AO123" s="4"/>
      <c r="AP123" s="4"/>
      <c r="AQ123" s="4"/>
      <c r="AR123" s="4"/>
      <c r="AS123" s="4"/>
      <c r="AT123" s="4"/>
      <c r="AU123" s="4"/>
      <c r="AV123" s="4"/>
      <c r="AW123" s="43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3"/>
      <c r="EU123" s="43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6"/>
      <c r="HP123" s="4"/>
      <c r="HQ123" s="4"/>
      <c r="HR123" s="4"/>
      <c r="HS123" s="4"/>
      <c r="HT123" s="4"/>
      <c r="HU123" s="4"/>
      <c r="HV123" s="4"/>
      <c r="HW123" s="4"/>
      <c r="HX123" s="4"/>
      <c r="HY123" s="6"/>
      <c r="HZ123" s="4"/>
      <c r="IA123" s="4"/>
      <c r="IB123" s="4"/>
      <c r="IC123" s="22">
        <f t="shared" si="128"/>
        <v>0</v>
      </c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13"/>
      <c r="IO123" s="13"/>
      <c r="IP123" s="13"/>
      <c r="IQ123" s="13"/>
      <c r="IR123" s="4"/>
      <c r="IS123" s="4"/>
      <c r="IT123" s="4"/>
      <c r="IU123" s="4"/>
      <c r="IV123" s="4"/>
    </row>
    <row r="124" spans="2:256" ht="12.75">
      <c r="B124" s="204"/>
      <c r="C124" s="24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8"/>
      <c r="P124" s="207"/>
      <c r="Q124" s="208"/>
      <c r="R124" s="216"/>
      <c r="S124" s="59"/>
      <c r="T124" s="43"/>
      <c r="U124" s="43"/>
      <c r="V124" s="43"/>
      <c r="W124" s="43"/>
      <c r="X124" s="43"/>
      <c r="Y124" s="43"/>
      <c r="Z124" s="46"/>
      <c r="AA124" s="4"/>
      <c r="AB124" s="4"/>
      <c r="AC124" s="4"/>
      <c r="AD124" s="4"/>
      <c r="AE124" s="4"/>
      <c r="AF124" s="4"/>
      <c r="AG124" s="4"/>
      <c r="AH124" s="4"/>
      <c r="AI124" s="4"/>
      <c r="AJ124" s="43"/>
      <c r="AK124" s="4"/>
      <c r="AL124" s="43"/>
      <c r="AM124" s="43"/>
      <c r="AN124" s="4"/>
      <c r="AO124" s="4"/>
      <c r="AP124" s="4"/>
      <c r="AQ124" s="4"/>
      <c r="AR124" s="4"/>
      <c r="AS124" s="4"/>
      <c r="AT124" s="4"/>
      <c r="AU124" s="4"/>
      <c r="AV124" s="4"/>
      <c r="AW124" s="43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6"/>
      <c r="HP124" s="4"/>
      <c r="HQ124" s="4"/>
      <c r="HR124" s="9" t="s">
        <v>670</v>
      </c>
      <c r="HS124" s="11">
        <v>0</v>
      </c>
      <c r="HT124" s="11">
        <v>1</v>
      </c>
      <c r="HU124" s="12">
        <v>1</v>
      </c>
      <c r="HV124" s="4"/>
      <c r="HW124" s="4"/>
      <c r="HX124" s="4"/>
      <c r="HY124" s="6"/>
      <c r="HZ124" s="4"/>
      <c r="IA124" s="4"/>
      <c r="IB124" s="4"/>
      <c r="IC124" s="22">
        <f t="shared" si="128"/>
        <v>0</v>
      </c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13"/>
      <c r="IO124" s="13"/>
      <c r="IP124" s="13"/>
      <c r="IQ124" s="13"/>
      <c r="IR124" s="4"/>
      <c r="IS124" s="4"/>
      <c r="IT124" s="4"/>
      <c r="IU124" s="4"/>
      <c r="IV124" s="4"/>
    </row>
    <row r="125" spans="2:256" ht="13.5" thickBot="1">
      <c r="B125" s="204"/>
      <c r="C125" s="245"/>
      <c r="D125" s="225"/>
      <c r="E125"/>
      <c r="F125"/>
      <c r="G125" s="211" t="s">
        <v>666</v>
      </c>
      <c r="H125" s="205"/>
      <c r="I125" s="205"/>
      <c r="J125" s="205"/>
      <c r="K125" s="205"/>
      <c r="L125" s="205"/>
      <c r="M125" s="205"/>
      <c r="N125" s="205"/>
      <c r="O125" s="266" t="str">
        <f>(O65)</f>
        <v>Ano: 1997</v>
      </c>
      <c r="P125" s="207"/>
      <c r="Q125" s="208"/>
      <c r="R125" s="220"/>
      <c r="S125" s="67"/>
      <c r="T125" s="50"/>
      <c r="U125" s="50"/>
      <c r="V125" s="50"/>
      <c r="W125" s="50"/>
      <c r="X125" s="50"/>
      <c r="Y125" s="50"/>
      <c r="Z125" s="51"/>
      <c r="AA125" s="4"/>
      <c r="AB125" s="4"/>
      <c r="AC125" s="4"/>
      <c r="AD125" s="4"/>
      <c r="AE125" s="4"/>
      <c r="AF125" s="4"/>
      <c r="AG125" s="4"/>
      <c r="AH125" s="4"/>
      <c r="AI125" s="4"/>
      <c r="AJ125" s="43"/>
      <c r="AK125" s="4"/>
      <c r="AL125" s="43"/>
      <c r="AM125" s="43"/>
      <c r="AN125" s="4"/>
      <c r="AO125" s="4"/>
      <c r="AP125" s="4"/>
      <c r="AQ125" s="4"/>
      <c r="AR125" s="4"/>
      <c r="AS125" s="4"/>
      <c r="AT125" s="4"/>
      <c r="AU125" s="4"/>
      <c r="AV125" s="4"/>
      <c r="AW125" s="43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6"/>
      <c r="HP125" s="5" t="s">
        <v>672</v>
      </c>
      <c r="HQ125" s="4"/>
      <c r="HR125" s="4"/>
      <c r="HS125" s="4"/>
      <c r="HT125" s="4"/>
      <c r="HU125" s="4"/>
      <c r="HV125" s="6" t="s">
        <v>28</v>
      </c>
      <c r="HW125" s="7" t="s">
        <v>132</v>
      </c>
      <c r="HX125" s="7" t="s">
        <v>9</v>
      </c>
      <c r="HY125" s="6"/>
      <c r="HZ125" s="4"/>
      <c r="IA125" s="4"/>
      <c r="IB125" s="4"/>
      <c r="IC125" s="22">
        <f t="shared" si="128"/>
        <v>0</v>
      </c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13"/>
      <c r="IO125" s="13"/>
      <c r="IP125" s="13"/>
      <c r="IQ125" s="13"/>
      <c r="IR125" s="4"/>
      <c r="IS125" s="4"/>
      <c r="IT125" s="4"/>
      <c r="IU125" s="4"/>
      <c r="IV125" s="4"/>
    </row>
    <row r="126" spans="2:256" ht="12.75">
      <c r="B126" s="204"/>
      <c r="C126" s="24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8"/>
      <c r="P126" s="207"/>
      <c r="Q126" s="208"/>
      <c r="R126" s="220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3"/>
      <c r="AK126" s="4"/>
      <c r="AL126" s="43"/>
      <c r="AM126" s="43"/>
      <c r="AN126" s="4"/>
      <c r="AO126" s="4"/>
      <c r="AP126" s="4"/>
      <c r="AQ126" s="4"/>
      <c r="AR126" s="4"/>
      <c r="AS126" s="4"/>
      <c r="AT126" s="4"/>
      <c r="AU126" s="4"/>
      <c r="AV126" s="4"/>
      <c r="AW126" s="43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6"/>
      <c r="HP126" s="4"/>
      <c r="HQ126" s="4"/>
      <c r="HR126" s="7" t="s">
        <v>679</v>
      </c>
      <c r="HS126" s="5" t="s">
        <v>680</v>
      </c>
      <c r="HT126" s="5" t="s">
        <v>681</v>
      </c>
      <c r="HU126" s="5" t="s">
        <v>681</v>
      </c>
      <c r="HV126" s="6" t="s">
        <v>28</v>
      </c>
      <c r="HW126" s="5" t="s">
        <v>140</v>
      </c>
      <c r="HX126" s="4"/>
      <c r="HY126" s="6"/>
      <c r="HZ126" s="4"/>
      <c r="IA126" s="4"/>
      <c r="IB126" s="4"/>
      <c r="IC126" s="22">
        <f t="shared" si="128"/>
        <v>0</v>
      </c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13"/>
      <c r="IO126" s="13"/>
      <c r="IP126" s="13"/>
      <c r="IQ126" s="13"/>
      <c r="IR126" s="4"/>
      <c r="IS126" s="4"/>
      <c r="IT126" s="4"/>
      <c r="IU126" s="4"/>
      <c r="IV126" s="4"/>
    </row>
    <row r="127" spans="2:256" ht="12.75">
      <c r="B127" s="204"/>
      <c r="C127" s="245"/>
      <c r="D127" s="165" t="s">
        <v>839</v>
      </c>
      <c r="E127" s="205"/>
      <c r="F127" s="205"/>
      <c r="G127" s="205"/>
      <c r="H127" s="205"/>
      <c r="I127" s="205"/>
      <c r="J127" s="205"/>
      <c r="K127" s="205"/>
      <c r="L127" s="205"/>
      <c r="M127" s="226" t="s">
        <v>388</v>
      </c>
      <c r="N127" s="226"/>
      <c r="O127" s="267">
        <f>(O67)</f>
        <v>35771</v>
      </c>
      <c r="P127" s="207"/>
      <c r="Q127" s="208"/>
      <c r="R127" s="220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3"/>
      <c r="AK127" s="4"/>
      <c r="AL127" s="43"/>
      <c r="AM127" s="43"/>
      <c r="AN127" s="4"/>
      <c r="AO127" s="4"/>
      <c r="AP127" s="4"/>
      <c r="AQ127" s="4"/>
      <c r="AR127" s="4"/>
      <c r="AS127" s="4"/>
      <c r="AT127" s="4"/>
      <c r="AU127" s="4"/>
      <c r="AV127" s="4"/>
      <c r="AW127" s="43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6"/>
      <c r="HP127" s="7" t="s">
        <v>688</v>
      </c>
      <c r="HQ127" s="5" t="s">
        <v>689</v>
      </c>
      <c r="HR127" s="7" t="s">
        <v>690</v>
      </c>
      <c r="HS127" s="5" t="s">
        <v>691</v>
      </c>
      <c r="HT127" s="5" t="s">
        <v>692</v>
      </c>
      <c r="HU127" s="7" t="s">
        <v>93</v>
      </c>
      <c r="HV127" s="6" t="s">
        <v>28</v>
      </c>
      <c r="HW127" s="4"/>
      <c r="HX127" s="4"/>
      <c r="HY127" s="6"/>
      <c r="HZ127" s="4"/>
      <c r="IA127" s="4"/>
      <c r="IB127" s="4"/>
      <c r="IC127" s="22">
        <f t="shared" si="128"/>
        <v>0</v>
      </c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13"/>
      <c r="IO127" s="13"/>
      <c r="IP127" s="13"/>
      <c r="IQ127" s="13"/>
      <c r="IR127" s="4"/>
      <c r="IS127" s="4"/>
      <c r="IT127" s="4"/>
      <c r="IU127" s="4"/>
      <c r="IV127" s="4"/>
    </row>
    <row r="128" spans="2:256" ht="13.5" thickBot="1">
      <c r="B128" s="204"/>
      <c r="C128" s="24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8"/>
      <c r="P128" s="207"/>
      <c r="Q128" s="208"/>
      <c r="R128" s="220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3"/>
      <c r="AK128" s="4"/>
      <c r="AL128" s="43"/>
      <c r="AM128" s="43"/>
      <c r="AN128" s="4"/>
      <c r="AO128" s="4"/>
      <c r="AP128" s="4"/>
      <c r="AQ128" s="4"/>
      <c r="AR128" s="4"/>
      <c r="AS128" s="4"/>
      <c r="AT128" s="4"/>
      <c r="AU128" s="4"/>
      <c r="AV128" s="4"/>
      <c r="AW128" s="43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6"/>
      <c r="HP128" s="4"/>
      <c r="HQ128" s="4"/>
      <c r="HR128" s="13"/>
      <c r="HS128" s="4"/>
      <c r="HT128" s="4"/>
      <c r="HU128" s="4"/>
      <c r="HV128" s="6" t="s">
        <v>28</v>
      </c>
      <c r="HW128" s="4"/>
      <c r="HX128" s="4"/>
      <c r="HY128" s="6"/>
      <c r="HZ128" s="4"/>
      <c r="IA128" s="4"/>
      <c r="IB128" s="4"/>
      <c r="IC128" s="22">
        <f t="shared" si="128"/>
        <v>0</v>
      </c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13"/>
      <c r="IO128" s="13"/>
      <c r="IP128" s="13"/>
      <c r="IQ128" s="13"/>
      <c r="IR128" s="4"/>
      <c r="IS128" s="4"/>
      <c r="IT128" s="4"/>
      <c r="IU128" s="4"/>
      <c r="IV128" s="4"/>
    </row>
    <row r="129" spans="2:256" ht="12.75">
      <c r="B129" s="204"/>
      <c r="C129" s="245"/>
      <c r="D129" s="165" t="s">
        <v>682</v>
      </c>
      <c r="E129" s="104">
        <f>H22</f>
        <v>0</v>
      </c>
      <c r="F129" s="205"/>
      <c r="G129" s="205"/>
      <c r="H129" s="205"/>
      <c r="I129" s="205"/>
      <c r="J129" s="205"/>
      <c r="K129" s="205"/>
      <c r="L129" s="205"/>
      <c r="M129" s="238"/>
      <c r="N129" s="238"/>
      <c r="O129" s="208"/>
      <c r="P129" s="207"/>
      <c r="Q129" s="208"/>
      <c r="R129" s="209"/>
      <c r="S129" s="183"/>
      <c r="T129" s="155"/>
      <c r="U129" s="155"/>
      <c r="V129" s="155"/>
      <c r="W129" s="155"/>
      <c r="X129" s="155"/>
      <c r="Y129" s="155"/>
      <c r="Z129" s="125"/>
      <c r="AA129" s="6"/>
      <c r="AB129" s="4"/>
      <c r="AC129" s="4"/>
      <c r="AD129" s="4"/>
      <c r="AE129" s="4"/>
      <c r="AF129" s="4"/>
      <c r="AG129" s="4"/>
      <c r="AH129" s="4"/>
      <c r="AI129" s="4"/>
      <c r="AJ129" s="43"/>
      <c r="AK129" s="4"/>
      <c r="AL129" s="43"/>
      <c r="AM129" s="43"/>
      <c r="AN129" s="4"/>
      <c r="AO129" s="4"/>
      <c r="AP129" s="4"/>
      <c r="AQ129" s="4"/>
      <c r="AR129" s="4"/>
      <c r="AS129" s="4"/>
      <c r="AT129" s="4"/>
      <c r="AU129" s="4"/>
      <c r="AV129" s="4"/>
      <c r="AW129" s="43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6"/>
      <c r="HP129" s="120">
        <f aca="true" t="shared" si="129" ref="HP129:HQ133">HP71</f>
        <v>1</v>
      </c>
      <c r="HQ129" s="120" t="str">
        <f t="shared" si="129"/>
        <v>Mestre</v>
      </c>
      <c r="HR129" s="22">
        <v>1</v>
      </c>
      <c r="HS129" s="22">
        <f>(HR129*0.27+HT129*0.27)</f>
        <v>21.330000000000002</v>
      </c>
      <c r="HT129" s="22">
        <f>78*HP129</f>
        <v>78</v>
      </c>
      <c r="HU129" s="22">
        <f>(HR129+HT129+HR129)</f>
        <v>80</v>
      </c>
      <c r="HV129" s="6" t="s">
        <v>28</v>
      </c>
      <c r="HW129" s="13">
        <f aca="true" t="shared" si="130" ref="HW129:HW151">((HU129)+(HU129*$HS$64/100)+(HU129*$HT$64/100))</f>
        <v>80.03999999999999</v>
      </c>
      <c r="HX129" s="27">
        <f aca="true" t="shared" si="131" ref="HX129:HX153">(HW129/$BD$2)*1000</f>
        <v>400.19999999999993</v>
      </c>
      <c r="HY129" s="6"/>
      <c r="HZ129" s="4"/>
      <c r="IA129" s="4"/>
      <c r="IB129" s="4"/>
      <c r="IC129" s="22">
        <f t="shared" si="128"/>
        <v>0</v>
      </c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13"/>
      <c r="IO129" s="13"/>
      <c r="IP129" s="13"/>
      <c r="IQ129" s="13"/>
      <c r="IR129" s="4"/>
      <c r="IS129" s="4"/>
      <c r="IT129" s="4"/>
      <c r="IU129" s="4"/>
      <c r="IV129" s="4"/>
    </row>
    <row r="130" spans="2:256" ht="16.5" thickBot="1">
      <c r="B130" s="204"/>
      <c r="C130" s="24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14"/>
      <c r="P130" s="207"/>
      <c r="Q130" s="208"/>
      <c r="R130" s="209"/>
      <c r="S130" s="184" t="s">
        <v>149</v>
      </c>
      <c r="T130" s="186" t="s">
        <v>840</v>
      </c>
      <c r="U130" s="116"/>
      <c r="V130" s="116"/>
      <c r="W130" s="116"/>
      <c r="X130" s="43"/>
      <c r="Y130" s="43"/>
      <c r="Z130" s="48" t="s">
        <v>841</v>
      </c>
      <c r="AA130" s="6"/>
      <c r="AB130" s="4"/>
      <c r="AC130" s="4"/>
      <c r="AD130" s="4"/>
      <c r="AE130" s="4"/>
      <c r="AF130" s="4"/>
      <c r="AG130" s="4"/>
      <c r="AH130" s="4"/>
      <c r="AI130" s="4"/>
      <c r="AJ130" s="43"/>
      <c r="AK130" s="4"/>
      <c r="AL130" s="43"/>
      <c r="AM130" s="43"/>
      <c r="AN130" s="4"/>
      <c r="AO130" s="4"/>
      <c r="AP130" s="4"/>
      <c r="AQ130" s="4"/>
      <c r="AR130" s="4"/>
      <c r="AS130" s="4"/>
      <c r="AT130" s="4"/>
      <c r="AU130" s="4"/>
      <c r="AV130" s="4"/>
      <c r="AW130" s="43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6"/>
      <c r="HP130" s="120">
        <f t="shared" si="129"/>
        <v>1</v>
      </c>
      <c r="HQ130" s="120" t="str">
        <f t="shared" si="129"/>
        <v>Contramestre</v>
      </c>
      <c r="HR130" s="22">
        <v>1</v>
      </c>
      <c r="HS130" s="22">
        <f>(HR130*0.27+HT130*0.27)</f>
        <v>17.28</v>
      </c>
      <c r="HT130" s="22">
        <f>63*HP130</f>
        <v>63</v>
      </c>
      <c r="HU130" s="22">
        <f>(HR130+HT130+HR130)</f>
        <v>65</v>
      </c>
      <c r="HV130" s="6" t="s">
        <v>28</v>
      </c>
      <c r="HW130" s="13">
        <f t="shared" si="130"/>
        <v>65.0325</v>
      </c>
      <c r="HX130" s="27">
        <f t="shared" si="131"/>
        <v>325.1625</v>
      </c>
      <c r="HY130" s="6"/>
      <c r="HZ130" s="4"/>
      <c r="IA130" s="4"/>
      <c r="IB130" s="4"/>
      <c r="IC130" s="22">
        <f t="shared" si="128"/>
        <v>0</v>
      </c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13"/>
      <c r="IO130" s="13"/>
      <c r="IP130" s="13"/>
      <c r="IQ130" s="13"/>
      <c r="IR130" s="4"/>
      <c r="IS130" s="4"/>
      <c r="IT130" s="4"/>
      <c r="IU130" s="4"/>
      <c r="IV130" s="4"/>
    </row>
    <row r="131" spans="2:256" ht="16.5" thickBot="1">
      <c r="B131" s="204"/>
      <c r="C131" s="24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8"/>
      <c r="P131" s="207"/>
      <c r="Q131" s="208"/>
      <c r="R131" s="209"/>
      <c r="S131" s="185"/>
      <c r="X131" s="116"/>
      <c r="Y131" s="544" t="str">
        <f>M4</f>
        <v>CAI4anoL.xls</v>
      </c>
      <c r="Z131" s="46"/>
      <c r="AA131" s="6"/>
      <c r="AB131" s="4"/>
      <c r="AC131" s="4"/>
      <c r="AD131" s="4"/>
      <c r="AE131" s="4"/>
      <c r="AF131" s="4"/>
      <c r="AG131" s="4"/>
      <c r="AH131" s="4"/>
      <c r="AI131" s="4"/>
      <c r="AJ131" s="43"/>
      <c r="AK131" s="4"/>
      <c r="AL131" s="43"/>
      <c r="AM131" s="43"/>
      <c r="AN131" s="4"/>
      <c r="AO131" s="4"/>
      <c r="AP131" s="4"/>
      <c r="AQ131" s="4"/>
      <c r="AR131" s="4"/>
      <c r="AS131" s="4"/>
      <c r="AT131" s="4"/>
      <c r="AU131" s="4"/>
      <c r="AV131" s="4"/>
      <c r="AW131" s="43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6"/>
      <c r="HP131" s="120">
        <f t="shared" si="129"/>
        <v>1</v>
      </c>
      <c r="HQ131" s="120" t="str">
        <f t="shared" si="129"/>
        <v>1º Motorista</v>
      </c>
      <c r="HR131" s="22">
        <v>1</v>
      </c>
      <c r="HS131" s="22">
        <f>(HR131*0.27+HT131*0.27)</f>
        <v>17.28</v>
      </c>
      <c r="HT131" s="22">
        <f>63*HP131</f>
        <v>63</v>
      </c>
      <c r="HU131" s="22">
        <f>(HR131+HT131+HR131)</f>
        <v>65</v>
      </c>
      <c r="HV131" s="6" t="s">
        <v>28</v>
      </c>
      <c r="HW131" s="13">
        <f t="shared" si="130"/>
        <v>65.0325</v>
      </c>
      <c r="HX131" s="27">
        <f t="shared" si="131"/>
        <v>325.1625</v>
      </c>
      <c r="HY131" s="6"/>
      <c r="HZ131" s="4"/>
      <c r="IA131" s="4"/>
      <c r="IB131" s="4"/>
      <c r="IC131" s="22">
        <f t="shared" si="128"/>
        <v>0</v>
      </c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13"/>
      <c r="IO131" s="13"/>
      <c r="IP131" s="13"/>
      <c r="IQ131" s="13"/>
      <c r="IR131" s="4"/>
      <c r="IS131" s="4"/>
      <c r="IT131" s="4"/>
      <c r="IU131" s="4"/>
      <c r="IV131" s="4"/>
    </row>
    <row r="132" spans="2:256" ht="12.75">
      <c r="B132" s="204"/>
      <c r="C132" s="24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8"/>
      <c r="P132" s="207"/>
      <c r="Q132" s="208"/>
      <c r="R132" s="209"/>
      <c r="S132" s="59"/>
      <c r="T132" s="43" t="s">
        <v>842</v>
      </c>
      <c r="U132" s="43"/>
      <c r="V132" s="43"/>
      <c r="W132" s="43"/>
      <c r="Y132" s="44" t="s">
        <v>0</v>
      </c>
      <c r="Z132" s="46"/>
      <c r="AA132" s="6"/>
      <c r="AB132" s="4"/>
      <c r="AC132" s="4"/>
      <c r="AD132" s="4"/>
      <c r="AE132" s="4"/>
      <c r="AF132" s="4"/>
      <c r="AG132" s="4"/>
      <c r="AH132" s="4"/>
      <c r="AI132" s="4"/>
      <c r="AJ132" s="43"/>
      <c r="AK132" s="4"/>
      <c r="AL132" s="43"/>
      <c r="AM132" s="43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6"/>
      <c r="HP132" s="120">
        <f t="shared" si="129"/>
        <v>1</v>
      </c>
      <c r="HQ132" s="120" t="str">
        <f t="shared" si="129"/>
        <v>2º Motorista</v>
      </c>
      <c r="HR132" s="22">
        <v>1</v>
      </c>
      <c r="HS132" s="22">
        <f>(HR132*0.27+HT132*0.27)</f>
        <v>8.370000000000001</v>
      </c>
      <c r="HT132" s="22">
        <f>30*HP132</f>
        <v>30</v>
      </c>
      <c r="HU132" s="22">
        <f>(HR132+HT132+HR132)</f>
        <v>32</v>
      </c>
      <c r="HV132" s="6" t="s">
        <v>28</v>
      </c>
      <c r="HW132" s="13">
        <f t="shared" si="130"/>
        <v>32.016000000000005</v>
      </c>
      <c r="HX132" s="27">
        <f t="shared" si="131"/>
        <v>160.08000000000004</v>
      </c>
      <c r="HY132" s="6"/>
      <c r="HZ132" s="4"/>
      <c r="IA132" s="4"/>
      <c r="IB132" s="4"/>
      <c r="IC132" s="22">
        <f t="shared" si="128"/>
        <v>0</v>
      </c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13"/>
      <c r="IO132" s="13"/>
      <c r="IP132" s="13"/>
      <c r="IQ132" s="13"/>
      <c r="IR132" s="4"/>
      <c r="IS132" s="4"/>
      <c r="IT132" s="4"/>
      <c r="IU132" s="4"/>
      <c r="IV132" s="4"/>
    </row>
    <row r="133" spans="2:256" ht="12.75">
      <c r="B133" s="204"/>
      <c r="C133" s="245"/>
      <c r="D133" s="165" t="s">
        <v>705</v>
      </c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8"/>
      <c r="P133" s="207"/>
      <c r="Q133" s="208"/>
      <c r="R133" s="209"/>
      <c r="S133" s="59"/>
      <c r="T133" s="43"/>
      <c r="U133" s="43"/>
      <c r="V133" s="43"/>
      <c r="W133" s="43"/>
      <c r="X133" s="60" t="s">
        <v>679</v>
      </c>
      <c r="Y133" s="60" t="s">
        <v>157</v>
      </c>
      <c r="Z133" s="61" t="s">
        <v>9</v>
      </c>
      <c r="AA133" s="6"/>
      <c r="AB133" s="4"/>
      <c r="AC133" s="4"/>
      <c r="AD133" s="4"/>
      <c r="AE133" s="15">
        <f>(AE135+AE137+AE142+AE146+AE170+AE158+AE154+AE165)</f>
        <v>153304.68209728</v>
      </c>
      <c r="AF133" s="4"/>
      <c r="AG133" s="4"/>
      <c r="AH133" s="4"/>
      <c r="AI133" s="4"/>
      <c r="AJ133" s="43"/>
      <c r="AK133" s="4"/>
      <c r="AL133" s="43"/>
      <c r="AM133" s="43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6"/>
      <c r="HP133" s="120">
        <f t="shared" si="129"/>
        <v>4</v>
      </c>
      <c r="HQ133" s="120" t="str">
        <f t="shared" si="129"/>
        <v>Marinheiros</v>
      </c>
      <c r="HR133" s="22">
        <v>1</v>
      </c>
      <c r="HS133" s="22">
        <f>(HR133*0.27+HT133*0.27)</f>
        <v>21.87</v>
      </c>
      <c r="HT133" s="22">
        <f>20*HP133</f>
        <v>80</v>
      </c>
      <c r="HU133" s="22">
        <f>(HR133+HT133+HR133)</f>
        <v>82</v>
      </c>
      <c r="HV133" s="6" t="s">
        <v>28</v>
      </c>
      <c r="HW133" s="13">
        <f t="shared" si="130"/>
        <v>82.041</v>
      </c>
      <c r="HX133" s="27">
        <f t="shared" si="131"/>
        <v>410.205</v>
      </c>
      <c r="HY133" s="6"/>
      <c r="HZ133" s="4"/>
      <c r="IA133" s="4"/>
      <c r="IB133" s="4"/>
      <c r="IC133" s="22">
        <f t="shared" si="128"/>
        <v>0</v>
      </c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13"/>
      <c r="IO133" s="13"/>
      <c r="IP133" s="13"/>
      <c r="IQ133" s="13"/>
      <c r="IR133" s="4"/>
      <c r="IS133" s="4"/>
      <c r="IT133" s="4"/>
      <c r="IU133" s="4"/>
      <c r="IV133" s="4"/>
    </row>
    <row r="134" spans="2:256" ht="12.75">
      <c r="B134" s="204"/>
      <c r="C134" s="24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8"/>
      <c r="P134" s="207"/>
      <c r="Q134" s="208"/>
      <c r="R134" s="209"/>
      <c r="S134" s="59"/>
      <c r="T134" s="43"/>
      <c r="U134" s="43"/>
      <c r="V134" s="43"/>
      <c r="W134" s="43"/>
      <c r="X134" s="43"/>
      <c r="Y134" s="43"/>
      <c r="Z134" s="46"/>
      <c r="AA134" s="6"/>
      <c r="AB134" s="4"/>
      <c r="AC134" s="4"/>
      <c r="AD134" s="4"/>
      <c r="AE134" s="4"/>
      <c r="AF134" s="4"/>
      <c r="AG134" s="4"/>
      <c r="AH134" s="4"/>
      <c r="AI134" s="4"/>
      <c r="AJ134" s="43"/>
      <c r="AK134" s="4"/>
      <c r="AL134" s="43"/>
      <c r="AM134" s="43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6"/>
      <c r="HP134" s="4"/>
      <c r="HQ134" s="4"/>
      <c r="HR134" s="22"/>
      <c r="HS134" s="22"/>
      <c r="HT134" s="22"/>
      <c r="HU134" s="22"/>
      <c r="HV134" s="6" t="s">
        <v>28</v>
      </c>
      <c r="HW134" s="13">
        <f t="shared" si="130"/>
        <v>0</v>
      </c>
      <c r="HX134" s="27">
        <f t="shared" si="131"/>
        <v>0</v>
      </c>
      <c r="HY134" s="6"/>
      <c r="HZ134" s="4"/>
      <c r="IA134" s="4"/>
      <c r="IB134" s="4"/>
      <c r="IC134" s="22">
        <f t="shared" si="128"/>
        <v>0</v>
      </c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13"/>
      <c r="IO134" s="13"/>
      <c r="IP134" s="13"/>
      <c r="IQ134" s="13"/>
      <c r="IR134" s="4"/>
      <c r="IS134" s="4"/>
      <c r="IT134" s="4"/>
      <c r="IU134" s="4"/>
      <c r="IV134" s="4"/>
    </row>
    <row r="135" spans="2:256" ht="12.75">
      <c r="B135" s="204"/>
      <c r="C135" s="24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65" t="s">
        <v>157</v>
      </c>
      <c r="P135" s="207"/>
      <c r="Q135" s="208"/>
      <c r="R135" s="209"/>
      <c r="S135" s="59"/>
      <c r="T135" s="47" t="s">
        <v>843</v>
      </c>
      <c r="U135" s="43"/>
      <c r="V135" s="43"/>
      <c r="W135" s="43"/>
      <c r="X135" s="511">
        <f>SUM(X137:X153)</f>
        <v>0.9999999999999999</v>
      </c>
      <c r="Y135" s="515">
        <f>SUM(Y137:Y153)</f>
        <v>193262.34809728002</v>
      </c>
      <c r="Z135" s="522">
        <f>(Y135/BD2)*1000</f>
        <v>966311.7404864001</v>
      </c>
      <c r="AA135" s="6"/>
      <c r="AB135" s="4"/>
      <c r="AC135" s="4"/>
      <c r="AD135" s="4"/>
      <c r="AE135" s="15">
        <f>Y98</f>
        <v>0</v>
      </c>
      <c r="AF135" s="4"/>
      <c r="AG135" s="4"/>
      <c r="AH135" s="4"/>
      <c r="AI135" s="4"/>
      <c r="AJ135" s="43"/>
      <c r="AK135" s="4"/>
      <c r="AL135" s="43"/>
      <c r="AM135" s="43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6"/>
      <c r="HP135" s="4"/>
      <c r="HQ135" s="4"/>
      <c r="HR135" s="22"/>
      <c r="HS135" s="22"/>
      <c r="HT135" s="22"/>
      <c r="HU135" s="22"/>
      <c r="HV135" s="6" t="s">
        <v>28</v>
      </c>
      <c r="HW135" s="13">
        <f t="shared" si="130"/>
        <v>0</v>
      </c>
      <c r="HX135" s="27">
        <f t="shared" si="131"/>
        <v>0</v>
      </c>
      <c r="HY135" s="6"/>
      <c r="HZ135" s="4"/>
      <c r="IA135" s="4"/>
      <c r="IB135" s="4"/>
      <c r="IC135" s="22">
        <f t="shared" si="128"/>
        <v>0</v>
      </c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13"/>
      <c r="IO135" s="13"/>
      <c r="IP135" s="13"/>
      <c r="IQ135" s="13"/>
      <c r="IR135" s="4"/>
      <c r="IS135" s="4"/>
      <c r="IT135" s="4"/>
      <c r="IU135" s="4"/>
      <c r="IV135" s="4"/>
    </row>
    <row r="136" spans="2:256" ht="12.75">
      <c r="B136" s="204"/>
      <c r="C136" s="24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8"/>
      <c r="P136" s="207"/>
      <c r="Q136" s="208"/>
      <c r="R136" s="209"/>
      <c r="S136" s="59"/>
      <c r="T136" s="43"/>
      <c r="U136" s="43"/>
      <c r="V136" s="43"/>
      <c r="W136" s="43"/>
      <c r="X136" s="512"/>
      <c r="Y136" s="516"/>
      <c r="Z136" s="508"/>
      <c r="AA136" s="6"/>
      <c r="AB136" s="4"/>
      <c r="AC136" s="4"/>
      <c r="AD136" s="4"/>
      <c r="AE136" s="4"/>
      <c r="AF136" s="4"/>
      <c r="AG136" s="4"/>
      <c r="AH136" s="4"/>
      <c r="AI136" s="4"/>
      <c r="AJ136" s="43"/>
      <c r="AK136" s="4"/>
      <c r="AL136" s="43"/>
      <c r="AM136" s="43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6"/>
      <c r="HP136" s="4"/>
      <c r="HQ136" s="4"/>
      <c r="HR136" s="22"/>
      <c r="HS136" s="22"/>
      <c r="HT136" s="22"/>
      <c r="HU136" s="22"/>
      <c r="HV136" s="6" t="s">
        <v>28</v>
      </c>
      <c r="HW136" s="13">
        <f t="shared" si="130"/>
        <v>0</v>
      </c>
      <c r="HX136" s="27">
        <f t="shared" si="131"/>
        <v>0</v>
      </c>
      <c r="HY136" s="6"/>
      <c r="HZ136" s="4"/>
      <c r="IA136" s="4"/>
      <c r="IB136" s="4"/>
      <c r="IC136" s="22">
        <f t="shared" si="128"/>
        <v>0</v>
      </c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13"/>
      <c r="IO136" s="13"/>
      <c r="IP136" s="13"/>
      <c r="IQ136" s="13"/>
      <c r="IR136" s="4"/>
      <c r="IS136" s="4"/>
      <c r="IT136" s="4"/>
      <c r="IU136" s="4"/>
      <c r="IV136" s="4"/>
    </row>
    <row r="137" spans="2:256" ht="12.75">
      <c r="B137" s="204"/>
      <c r="C137" s="245"/>
      <c r="D137" s="165" t="s">
        <v>720</v>
      </c>
      <c r="E137" s="165" t="s">
        <v>844</v>
      </c>
      <c r="F137" s="104"/>
      <c r="G137" s="104"/>
      <c r="H137" s="104"/>
      <c r="I137" s="104"/>
      <c r="J137" s="104"/>
      <c r="K137" s="104"/>
      <c r="L137" s="104"/>
      <c r="M137" s="239"/>
      <c r="N137" s="239"/>
      <c r="O137" s="229"/>
      <c r="P137" s="207"/>
      <c r="Q137" s="208"/>
      <c r="R137" s="209"/>
      <c r="S137" s="182" t="s">
        <v>699</v>
      </c>
      <c r="T137" s="47" t="s">
        <v>700</v>
      </c>
      <c r="U137" s="43"/>
      <c r="V137" s="43"/>
      <c r="W137" s="43"/>
      <c r="X137" s="512">
        <f>(Y137/$Y$135)</f>
        <v>0.031045881720219274</v>
      </c>
      <c r="Y137" s="517">
        <f>(Y35)</f>
        <v>6000</v>
      </c>
      <c r="Z137" s="508">
        <f>(Y137/$BD$2)*1000</f>
        <v>30000</v>
      </c>
      <c r="AA137" s="6"/>
      <c r="AB137" s="4"/>
      <c r="AC137" s="4"/>
      <c r="AD137" s="4"/>
      <c r="AE137" s="15">
        <f>SUM(AE138:AE140)</f>
        <v>53140</v>
      </c>
      <c r="AF137" s="4"/>
      <c r="AG137" s="4"/>
      <c r="AH137" s="4"/>
      <c r="AI137" s="4"/>
      <c r="AJ137" s="43"/>
      <c r="AK137" s="4"/>
      <c r="AL137" s="43"/>
      <c r="AM137" s="43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6"/>
      <c r="HP137" s="4"/>
      <c r="HQ137" s="4"/>
      <c r="HR137" s="22"/>
      <c r="HS137" s="22"/>
      <c r="HT137" s="22"/>
      <c r="HU137" s="22"/>
      <c r="HV137" s="6" t="s">
        <v>28</v>
      </c>
      <c r="HW137" s="13">
        <f t="shared" si="130"/>
        <v>0</v>
      </c>
      <c r="HX137" s="27">
        <f t="shared" si="131"/>
        <v>0</v>
      </c>
      <c r="HY137" s="6"/>
      <c r="HZ137" s="4"/>
      <c r="IA137" s="4"/>
      <c r="IB137" s="4"/>
      <c r="IC137" s="22">
        <f t="shared" si="128"/>
        <v>0</v>
      </c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13"/>
      <c r="IO137" s="13"/>
      <c r="IP137" s="13"/>
      <c r="IQ137" s="13"/>
      <c r="IR137" s="4"/>
      <c r="IS137" s="4"/>
      <c r="IT137" s="4"/>
      <c r="IU137" s="4"/>
      <c r="IV137" s="4"/>
    </row>
    <row r="138" spans="2:256" ht="12.75">
      <c r="B138" s="204"/>
      <c r="C138" s="245"/>
      <c r="D138" s="104"/>
      <c r="E138" s="104"/>
      <c r="F138" s="104"/>
      <c r="G138" s="104"/>
      <c r="H138" s="104"/>
      <c r="I138" s="104"/>
      <c r="J138" s="104"/>
      <c r="K138" s="104"/>
      <c r="L138" s="104"/>
      <c r="M138" s="228"/>
      <c r="N138" s="228"/>
      <c r="O138" s="229"/>
      <c r="P138" s="207"/>
      <c r="Q138" s="208"/>
      <c r="R138" s="209"/>
      <c r="S138" s="35"/>
      <c r="T138" s="43"/>
      <c r="U138" s="43"/>
      <c r="V138" s="43"/>
      <c r="W138" s="43"/>
      <c r="X138" s="512"/>
      <c r="Y138" s="516"/>
      <c r="Z138" s="508"/>
      <c r="AA138" s="6"/>
      <c r="AB138" s="4"/>
      <c r="AC138" s="4"/>
      <c r="AD138" s="4"/>
      <c r="AE138" s="14"/>
      <c r="AF138" s="4"/>
      <c r="AG138" s="4"/>
      <c r="AH138" s="4"/>
      <c r="AI138" s="4"/>
      <c r="AJ138" s="43"/>
      <c r="AK138" s="4"/>
      <c r="AL138" s="43"/>
      <c r="AM138" s="43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6"/>
      <c r="HP138" s="4"/>
      <c r="HQ138" s="4"/>
      <c r="HR138" s="22"/>
      <c r="HS138" s="22"/>
      <c r="HT138" s="22"/>
      <c r="HU138" s="22"/>
      <c r="HV138" s="6" t="s">
        <v>28</v>
      </c>
      <c r="HW138" s="13">
        <f t="shared" si="130"/>
        <v>0</v>
      </c>
      <c r="HX138" s="27">
        <f t="shared" si="131"/>
        <v>0</v>
      </c>
      <c r="HY138" s="6"/>
      <c r="HZ138" s="4"/>
      <c r="IA138" s="4"/>
      <c r="IB138" s="4"/>
      <c r="IC138" s="22">
        <f t="shared" si="128"/>
        <v>0</v>
      </c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13"/>
      <c r="IO138" s="13"/>
      <c r="IP138" s="13"/>
      <c r="IQ138" s="13"/>
      <c r="IR138" s="4"/>
      <c r="IS138" s="4"/>
      <c r="IT138" s="4"/>
      <c r="IU138" s="4"/>
      <c r="IV138" s="4"/>
    </row>
    <row r="139" spans="2:256" ht="12.75">
      <c r="B139" s="204"/>
      <c r="C139" s="245"/>
      <c r="D139" s="165" t="s">
        <v>726</v>
      </c>
      <c r="E139" s="165" t="s">
        <v>727</v>
      </c>
      <c r="F139" s="104"/>
      <c r="G139" s="104"/>
      <c r="H139" s="104"/>
      <c r="I139" s="104"/>
      <c r="J139" s="104"/>
      <c r="K139" s="104"/>
      <c r="L139" s="104"/>
      <c r="M139" s="275"/>
      <c r="N139" s="239"/>
      <c r="O139" s="229">
        <f>Y35</f>
        <v>6000</v>
      </c>
      <c r="P139" s="207"/>
      <c r="Q139" s="208"/>
      <c r="R139" s="209"/>
      <c r="S139" s="182" t="s">
        <v>709</v>
      </c>
      <c r="T139" s="47" t="s">
        <v>710</v>
      </c>
      <c r="U139" s="43"/>
      <c r="V139" s="43"/>
      <c r="W139" s="43"/>
      <c r="X139" s="512">
        <f>(Y139/$Y$135)</f>
        <v>0.27496302576874204</v>
      </c>
      <c r="Y139" s="517">
        <f>(Y7+Y14)</f>
        <v>53140</v>
      </c>
      <c r="Z139" s="508">
        <f>(Y139/$BD$2)*1000</f>
        <v>265700</v>
      </c>
      <c r="AA139" s="6"/>
      <c r="AB139" s="4"/>
      <c r="AC139" s="4"/>
      <c r="AD139" s="4"/>
      <c r="AE139" s="15">
        <f>Y77</f>
        <v>0</v>
      </c>
      <c r="AF139" s="4"/>
      <c r="AG139" s="4"/>
      <c r="AH139" s="4"/>
      <c r="AI139" s="4"/>
      <c r="AJ139" s="43"/>
      <c r="AK139" s="4"/>
      <c r="AL139" s="43"/>
      <c r="AM139" s="43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6"/>
      <c r="HP139" s="4"/>
      <c r="HQ139" s="4"/>
      <c r="HR139" s="22"/>
      <c r="HS139" s="22"/>
      <c r="HT139" s="22"/>
      <c r="HU139" s="22"/>
      <c r="HV139" s="6" t="s">
        <v>28</v>
      </c>
      <c r="HW139" s="13">
        <f t="shared" si="130"/>
        <v>0</v>
      </c>
      <c r="HX139" s="27">
        <f t="shared" si="131"/>
        <v>0</v>
      </c>
      <c r="HY139" s="6"/>
      <c r="HZ139" s="4"/>
      <c r="IA139" s="4"/>
      <c r="IB139" s="4"/>
      <c r="IC139" s="22">
        <f t="shared" si="128"/>
        <v>0</v>
      </c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13"/>
      <c r="IO139" s="13"/>
      <c r="IP139" s="13"/>
      <c r="IQ139" s="13"/>
      <c r="IR139" s="4"/>
      <c r="IS139" s="4"/>
      <c r="IT139" s="4"/>
      <c r="IU139" s="4"/>
      <c r="IV139" s="4"/>
    </row>
    <row r="140" spans="2:256" ht="12.75">
      <c r="B140" s="204"/>
      <c r="C140" s="245"/>
      <c r="D140" s="104"/>
      <c r="E140" s="104"/>
      <c r="F140" s="104"/>
      <c r="G140" s="104"/>
      <c r="H140" s="104"/>
      <c r="I140" s="104"/>
      <c r="J140" s="104"/>
      <c r="K140" s="104"/>
      <c r="L140" s="104"/>
      <c r="M140" s="228"/>
      <c r="N140" s="228"/>
      <c r="O140" s="229"/>
      <c r="P140" s="207"/>
      <c r="Q140" s="208"/>
      <c r="R140" s="209"/>
      <c r="S140" s="35"/>
      <c r="T140" s="43"/>
      <c r="U140" s="43"/>
      <c r="V140" s="43"/>
      <c r="W140" s="43"/>
      <c r="X140" s="512"/>
      <c r="Y140" s="516"/>
      <c r="Z140" s="508"/>
      <c r="AA140" s="6"/>
      <c r="AB140" s="4"/>
      <c r="AC140" s="4"/>
      <c r="AD140" s="4"/>
      <c r="AE140" s="14">
        <f>Y75</f>
        <v>53140</v>
      </c>
      <c r="AF140" s="4"/>
      <c r="AG140" s="4"/>
      <c r="AH140" s="4"/>
      <c r="AI140" s="4"/>
      <c r="AJ140" s="43"/>
      <c r="AK140" s="4"/>
      <c r="AL140" s="43"/>
      <c r="AM140" s="43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6"/>
      <c r="HP140" s="4"/>
      <c r="HQ140" s="4"/>
      <c r="HR140" s="22"/>
      <c r="HS140" s="22"/>
      <c r="HT140" s="22"/>
      <c r="HU140" s="22"/>
      <c r="HV140" s="6" t="s">
        <v>28</v>
      </c>
      <c r="HW140" s="13">
        <f t="shared" si="130"/>
        <v>0</v>
      </c>
      <c r="HX140" s="27">
        <f t="shared" si="131"/>
        <v>0</v>
      </c>
      <c r="HY140" s="6"/>
      <c r="HZ140" s="4"/>
      <c r="IA140" s="4"/>
      <c r="IB140" s="4"/>
      <c r="IC140" s="22">
        <f t="shared" si="128"/>
        <v>0</v>
      </c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13"/>
      <c r="IO140" s="13"/>
      <c r="IP140" s="13"/>
      <c r="IQ140" s="13"/>
      <c r="IR140" s="4"/>
      <c r="IS140" s="4"/>
      <c r="IT140" s="4"/>
      <c r="IU140" s="4"/>
      <c r="IV140" s="4"/>
    </row>
    <row r="141" spans="2:256" ht="12.75">
      <c r="B141" s="204"/>
      <c r="C141" s="245"/>
      <c r="D141" s="165" t="s">
        <v>735</v>
      </c>
      <c r="E141" s="165" t="s">
        <v>736</v>
      </c>
      <c r="F141" s="104"/>
      <c r="G141" s="104"/>
      <c r="H141" s="104"/>
      <c r="I141" s="104"/>
      <c r="J141" s="104"/>
      <c r="K141" s="104"/>
      <c r="L141" s="104"/>
      <c r="M141" s="228"/>
      <c r="N141" s="228"/>
      <c r="O141" s="229">
        <f>(O81)</f>
        <v>2038</v>
      </c>
      <c r="P141" s="207"/>
      <c r="Q141" s="208"/>
      <c r="R141" s="209"/>
      <c r="S141" s="182" t="s">
        <v>731</v>
      </c>
      <c r="T141" s="47" t="s">
        <v>196</v>
      </c>
      <c r="U141" s="43"/>
      <c r="V141" s="43"/>
      <c r="W141" s="43"/>
      <c r="X141" s="512">
        <f>(Y141/$Y$135)</f>
        <v>0.0239984665697295</v>
      </c>
      <c r="Y141" s="517">
        <f>(Y16)</f>
        <v>4638</v>
      </c>
      <c r="Z141" s="508">
        <f>(Y141/$BD$2)*1000</f>
        <v>23190</v>
      </c>
      <c r="AA141" s="6"/>
      <c r="AB141" s="4"/>
      <c r="AC141" s="4"/>
      <c r="AD141" s="4"/>
      <c r="AE141" s="4"/>
      <c r="AF141" s="4"/>
      <c r="AG141" s="4"/>
      <c r="AH141" s="4"/>
      <c r="AI141" s="4"/>
      <c r="AJ141" s="43"/>
      <c r="AK141" s="4"/>
      <c r="AL141" s="43"/>
      <c r="AM141" s="43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6"/>
      <c r="HP141" s="4"/>
      <c r="HQ141" s="4"/>
      <c r="HR141" s="22"/>
      <c r="HS141" s="22"/>
      <c r="HT141" s="22"/>
      <c r="HU141" s="22"/>
      <c r="HV141" s="6" t="s">
        <v>28</v>
      </c>
      <c r="HW141" s="13">
        <f t="shared" si="130"/>
        <v>0</v>
      </c>
      <c r="HX141" s="27">
        <f t="shared" si="131"/>
        <v>0</v>
      </c>
      <c r="HY141" s="6"/>
      <c r="HZ141" s="4"/>
      <c r="IA141" s="4"/>
      <c r="IB141" s="4"/>
      <c r="IC141" s="22">
        <f t="shared" si="128"/>
        <v>0</v>
      </c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13"/>
      <c r="IO141" s="13"/>
      <c r="IP141" s="13"/>
      <c r="IQ141" s="13"/>
      <c r="IR141" s="4"/>
      <c r="IS141" s="4"/>
      <c r="IT141" s="4"/>
      <c r="IU141" s="4"/>
      <c r="IV141" s="4"/>
    </row>
    <row r="142" spans="2:256" ht="12.75">
      <c r="B142" s="204"/>
      <c r="C142" s="245"/>
      <c r="D142" s="104"/>
      <c r="E142" s="104"/>
      <c r="F142" s="104"/>
      <c r="G142" s="104"/>
      <c r="H142" s="104"/>
      <c r="I142" s="104"/>
      <c r="J142" s="104"/>
      <c r="K142" s="104"/>
      <c r="L142" s="104"/>
      <c r="M142" s="228"/>
      <c r="N142" s="228"/>
      <c r="O142" s="229"/>
      <c r="P142" s="207"/>
      <c r="Q142" s="208"/>
      <c r="R142" s="209"/>
      <c r="S142" s="35"/>
      <c r="T142" s="43"/>
      <c r="U142" s="43"/>
      <c r="V142" s="43"/>
      <c r="W142" s="43"/>
      <c r="X142" s="512"/>
      <c r="Y142" s="516"/>
      <c r="Z142" s="508"/>
      <c r="AA142" s="6"/>
      <c r="AB142" s="4"/>
      <c r="AC142" s="4"/>
      <c r="AD142" s="4"/>
      <c r="AE142" s="15">
        <f>SUM(AE143:AE144)</f>
        <v>4638</v>
      </c>
      <c r="AF142" s="4"/>
      <c r="AG142" s="4"/>
      <c r="AH142" s="4"/>
      <c r="AI142" s="4"/>
      <c r="AJ142" s="43"/>
      <c r="AK142" s="4"/>
      <c r="AL142" s="43"/>
      <c r="AM142" s="43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6"/>
      <c r="HP142" s="4"/>
      <c r="HQ142" s="4"/>
      <c r="HR142" s="22"/>
      <c r="HS142" s="22"/>
      <c r="HT142" s="22"/>
      <c r="HU142" s="22"/>
      <c r="HV142" s="6" t="s">
        <v>28</v>
      </c>
      <c r="HW142" s="13">
        <f t="shared" si="130"/>
        <v>0</v>
      </c>
      <c r="HX142" s="27">
        <f t="shared" si="131"/>
        <v>0</v>
      </c>
      <c r="HY142" s="6"/>
      <c r="HZ142" s="4"/>
      <c r="IA142" s="4"/>
      <c r="IB142" s="4"/>
      <c r="IC142" s="22">
        <f t="shared" si="128"/>
        <v>0</v>
      </c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13"/>
      <c r="IO142" s="4"/>
      <c r="IP142" s="4"/>
      <c r="IQ142" s="13"/>
      <c r="IR142" s="4"/>
      <c r="IS142" s="4"/>
      <c r="IT142" s="4"/>
      <c r="IU142" s="4"/>
      <c r="IV142" s="4"/>
    </row>
    <row r="143" spans="2:256" ht="12.75">
      <c r="B143" s="204"/>
      <c r="C143" s="245"/>
      <c r="D143" s="165" t="s">
        <v>743</v>
      </c>
      <c r="E143" s="165" t="s">
        <v>744</v>
      </c>
      <c r="F143" s="104"/>
      <c r="G143" s="104"/>
      <c r="H143" s="104"/>
      <c r="I143" s="104"/>
      <c r="J143" s="104"/>
      <c r="K143" s="104"/>
      <c r="L143" s="104"/>
      <c r="M143" s="228"/>
      <c r="N143" s="228"/>
      <c r="O143" s="229">
        <f>(O83)</f>
        <v>2600</v>
      </c>
      <c r="P143" s="207"/>
      <c r="Q143" s="208"/>
      <c r="R143" s="209"/>
      <c r="S143" s="182" t="s">
        <v>737</v>
      </c>
      <c r="T143" s="47" t="s">
        <v>746</v>
      </c>
      <c r="U143" s="43"/>
      <c r="V143" s="43"/>
      <c r="W143" s="43"/>
      <c r="X143" s="512">
        <f>(Y143/$Y$135)</f>
        <v>0.3003613619972207</v>
      </c>
      <c r="Y143" s="517">
        <f>(Y20+Y28+Y34)</f>
        <v>58048.54209728</v>
      </c>
      <c r="Z143" s="508">
        <f>(Y143/$BD$2)*1000</f>
        <v>290242.7104864</v>
      </c>
      <c r="AA143" s="6"/>
      <c r="AB143" s="4"/>
      <c r="AC143" s="4"/>
      <c r="AD143" s="4"/>
      <c r="AE143" s="14">
        <f>Y80</f>
        <v>2038</v>
      </c>
      <c r="AF143" s="4"/>
      <c r="AG143" s="4"/>
      <c r="AH143" s="4"/>
      <c r="AI143" s="4"/>
      <c r="AJ143" s="43"/>
      <c r="AK143" s="4"/>
      <c r="AL143" s="43"/>
      <c r="AM143" s="43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6"/>
      <c r="HP143" s="4"/>
      <c r="HQ143" s="4"/>
      <c r="HR143" s="22"/>
      <c r="HS143" s="22"/>
      <c r="HT143" s="22"/>
      <c r="HU143" s="22"/>
      <c r="HV143" s="6" t="s">
        <v>28</v>
      </c>
      <c r="HW143" s="13">
        <f t="shared" si="130"/>
        <v>0</v>
      </c>
      <c r="HX143" s="27">
        <f t="shared" si="131"/>
        <v>0</v>
      </c>
      <c r="HY143" s="6"/>
      <c r="HZ143" s="4"/>
      <c r="IA143" s="4"/>
      <c r="IB143" s="4"/>
      <c r="IC143" s="22">
        <f t="shared" si="128"/>
        <v>0</v>
      </c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13"/>
      <c r="IO143" s="4"/>
      <c r="IP143" s="4"/>
      <c r="IQ143" s="13"/>
      <c r="IR143" s="4"/>
      <c r="IS143" s="4"/>
      <c r="IT143" s="4"/>
      <c r="IU143" s="4"/>
      <c r="IV143" s="4"/>
    </row>
    <row r="144" spans="2:256" ht="12.75">
      <c r="B144" s="204"/>
      <c r="C144" s="245"/>
      <c r="D144" s="104"/>
      <c r="E144" s="104"/>
      <c r="F144" s="104"/>
      <c r="G144" s="104"/>
      <c r="H144" s="104"/>
      <c r="I144" s="104"/>
      <c r="J144" s="104"/>
      <c r="K144" s="104"/>
      <c r="L144" s="104"/>
      <c r="M144" s="228"/>
      <c r="N144" s="228"/>
      <c r="O144" s="229"/>
      <c r="P144" s="207"/>
      <c r="Q144" s="208"/>
      <c r="R144" s="209"/>
      <c r="S144" s="59"/>
      <c r="T144" s="43"/>
      <c r="U144" s="43"/>
      <c r="V144" s="43"/>
      <c r="W144" s="43"/>
      <c r="X144" s="513"/>
      <c r="Y144" s="518"/>
      <c r="Z144" s="508"/>
      <c r="AA144" s="6"/>
      <c r="AB144" s="4"/>
      <c r="AC144" s="4"/>
      <c r="AD144" s="4"/>
      <c r="AE144" s="14">
        <f>Y81</f>
        <v>2600</v>
      </c>
      <c r="AF144" s="4"/>
      <c r="AG144" s="4"/>
      <c r="AH144" s="4"/>
      <c r="AI144" s="4"/>
      <c r="AJ144" s="43"/>
      <c r="AK144" s="4"/>
      <c r="AL144" s="43"/>
      <c r="AM144" s="43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6"/>
      <c r="HP144" s="4"/>
      <c r="HQ144" s="4"/>
      <c r="HR144" s="22"/>
      <c r="HS144" s="22"/>
      <c r="HT144" s="22"/>
      <c r="HU144" s="22"/>
      <c r="HV144" s="6" t="s">
        <v>28</v>
      </c>
      <c r="HW144" s="13">
        <f t="shared" si="130"/>
        <v>0</v>
      </c>
      <c r="HX144" s="27">
        <f t="shared" si="131"/>
        <v>0</v>
      </c>
      <c r="HY144" s="6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13"/>
      <c r="IO144" s="4"/>
      <c r="IP144" s="4"/>
      <c r="IQ144" s="13"/>
      <c r="IR144" s="4"/>
      <c r="IS144" s="4"/>
      <c r="IT144" s="4"/>
      <c r="IU144" s="4"/>
      <c r="IV144" s="4"/>
    </row>
    <row r="145" spans="2:256" ht="12.75">
      <c r="B145" s="204"/>
      <c r="C145" s="245"/>
      <c r="D145" s="165" t="s">
        <v>749</v>
      </c>
      <c r="E145" s="165" t="s">
        <v>750</v>
      </c>
      <c r="F145" s="104"/>
      <c r="G145" s="104"/>
      <c r="H145" s="104"/>
      <c r="I145" s="104"/>
      <c r="J145" s="104"/>
      <c r="K145" s="104"/>
      <c r="L145" s="104"/>
      <c r="M145" s="228"/>
      <c r="N145" s="228"/>
      <c r="O145" s="229">
        <f>(O85)</f>
        <v>31864.46</v>
      </c>
      <c r="P145" s="207"/>
      <c r="Q145" s="208"/>
      <c r="R145" s="209"/>
      <c r="S145" s="182" t="s">
        <v>745</v>
      </c>
      <c r="T145" s="47" t="s">
        <v>769</v>
      </c>
      <c r="U145" s="43"/>
      <c r="V145" s="43"/>
      <c r="W145" s="43"/>
      <c r="X145" s="512">
        <f>(Y145/$Y$135)</f>
        <v>0.016713032992718042</v>
      </c>
      <c r="Y145" s="517">
        <f>(Y44)</f>
        <v>3230</v>
      </c>
      <c r="Z145" s="508">
        <f>(Y145/$BD$2)*1000</f>
        <v>16149.999999999998</v>
      </c>
      <c r="AA145" s="6"/>
      <c r="AB145" s="4"/>
      <c r="AC145" s="4"/>
      <c r="AD145" s="4"/>
      <c r="AE145" s="4"/>
      <c r="AF145" s="4"/>
      <c r="AG145" s="4"/>
      <c r="AH145" s="4"/>
      <c r="AI145" s="4"/>
      <c r="AJ145" s="43"/>
      <c r="AK145" s="4"/>
      <c r="AL145" s="43"/>
      <c r="AM145" s="43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6"/>
      <c r="HP145" s="4"/>
      <c r="HQ145" s="4"/>
      <c r="HR145" s="22"/>
      <c r="HS145" s="22"/>
      <c r="HT145" s="22"/>
      <c r="HU145" s="22"/>
      <c r="HV145" s="6" t="s">
        <v>28</v>
      </c>
      <c r="HW145" s="13">
        <f t="shared" si="130"/>
        <v>0</v>
      </c>
      <c r="HX145" s="27">
        <f t="shared" si="131"/>
        <v>0</v>
      </c>
      <c r="HY145" s="6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13"/>
      <c r="IO145" s="4"/>
      <c r="IP145" s="4"/>
      <c r="IQ145" s="13"/>
      <c r="IR145" s="4"/>
      <c r="IS145" s="4"/>
      <c r="IT145" s="4"/>
      <c r="IU145" s="4"/>
      <c r="IV145" s="4"/>
    </row>
    <row r="146" spans="2:256" ht="12.75">
      <c r="B146" s="204"/>
      <c r="C146" s="245"/>
      <c r="D146" s="104"/>
      <c r="E146" s="104"/>
      <c r="F146" s="104"/>
      <c r="G146" s="104"/>
      <c r="H146" s="104"/>
      <c r="I146" s="104"/>
      <c r="J146" s="104"/>
      <c r="K146" s="104"/>
      <c r="L146" s="104"/>
      <c r="M146" s="228"/>
      <c r="N146" s="228"/>
      <c r="O146" s="229"/>
      <c r="P146" s="207"/>
      <c r="Q146" s="208"/>
      <c r="R146" s="209"/>
      <c r="S146" s="35"/>
      <c r="T146" s="43"/>
      <c r="U146" s="43"/>
      <c r="V146" s="43"/>
      <c r="W146" s="43"/>
      <c r="X146" s="512"/>
      <c r="Y146" s="516"/>
      <c r="Z146" s="508"/>
      <c r="AA146" s="6"/>
      <c r="AB146" s="4"/>
      <c r="AC146" s="4"/>
      <c r="AD146" s="4"/>
      <c r="AE146" s="15">
        <f>SUM(AE147:AE152)</f>
        <v>17847.46</v>
      </c>
      <c r="AF146" s="4"/>
      <c r="AG146" s="4"/>
      <c r="AH146" s="4"/>
      <c r="AI146" s="4"/>
      <c r="AJ146" s="43"/>
      <c r="AK146" s="4"/>
      <c r="AL146" s="43"/>
      <c r="AM146" s="43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6"/>
      <c r="HP146" s="4"/>
      <c r="HQ146" s="4"/>
      <c r="HR146" s="22"/>
      <c r="HS146" s="22"/>
      <c r="HT146" s="22"/>
      <c r="HU146" s="22"/>
      <c r="HV146" s="6" t="s">
        <v>28</v>
      </c>
      <c r="HW146" s="13">
        <f t="shared" si="130"/>
        <v>0</v>
      </c>
      <c r="HX146" s="27">
        <f t="shared" si="131"/>
        <v>0</v>
      </c>
      <c r="HY146" s="6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13"/>
      <c r="IO146" s="4"/>
      <c r="IP146" s="4"/>
      <c r="IQ146" s="13"/>
      <c r="IR146" s="4"/>
      <c r="IS146" s="4"/>
      <c r="IT146" s="4"/>
      <c r="IU146" s="4"/>
      <c r="IV146" s="4"/>
    </row>
    <row r="147" spans="2:256" ht="12.75">
      <c r="B147" s="204"/>
      <c r="C147" s="245"/>
      <c r="D147" s="165" t="s">
        <v>755</v>
      </c>
      <c r="E147" s="165" t="s">
        <v>756</v>
      </c>
      <c r="F147" s="104"/>
      <c r="G147" s="104"/>
      <c r="H147" s="104"/>
      <c r="I147" s="104"/>
      <c r="J147" s="104"/>
      <c r="K147" s="104"/>
      <c r="L147" s="104"/>
      <c r="M147" s="228"/>
      <c r="N147" s="228"/>
      <c r="O147" s="229">
        <f>(O87)</f>
        <v>3230</v>
      </c>
      <c r="P147" s="207"/>
      <c r="Q147" s="208"/>
      <c r="R147" s="209"/>
      <c r="S147" s="182" t="s">
        <v>768</v>
      </c>
      <c r="T147" s="47" t="s">
        <v>487</v>
      </c>
      <c r="U147" s="43"/>
      <c r="V147" s="43"/>
      <c r="W147" s="43"/>
      <c r="X147" s="512">
        <f>(Y147/$Y$135)</f>
        <v>0.03894088048755276</v>
      </c>
      <c r="Y147" s="517">
        <f>(Y37)</f>
        <v>7525.8060000000005</v>
      </c>
      <c r="Z147" s="508">
        <f>(Y147/$BD$2)*1000</f>
        <v>37629.03</v>
      </c>
      <c r="AA147" s="6"/>
      <c r="AB147" s="4"/>
      <c r="AC147" s="4"/>
      <c r="AD147" s="4"/>
      <c r="AE147" s="14">
        <f>Y92</f>
        <v>2230</v>
      </c>
      <c r="AF147" s="4"/>
      <c r="AG147" s="4"/>
      <c r="AH147" s="4"/>
      <c r="AI147" s="4"/>
      <c r="AJ147" s="43"/>
      <c r="AK147" s="4"/>
      <c r="AL147" s="43"/>
      <c r="AM147" s="43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6"/>
      <c r="HP147" s="4"/>
      <c r="HQ147" s="4"/>
      <c r="HR147" s="22"/>
      <c r="HS147" s="22"/>
      <c r="HT147" s="22"/>
      <c r="HU147" s="22"/>
      <c r="HV147" s="6" t="s">
        <v>28</v>
      </c>
      <c r="HW147" s="13">
        <f t="shared" si="130"/>
        <v>0</v>
      </c>
      <c r="HX147" s="27">
        <f t="shared" si="131"/>
        <v>0</v>
      </c>
      <c r="HY147" s="6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13"/>
      <c r="IO147" s="4"/>
      <c r="IP147" s="4"/>
      <c r="IQ147" s="13"/>
      <c r="IR147" s="4"/>
      <c r="IS147" s="4"/>
      <c r="IT147" s="4"/>
      <c r="IU147" s="4"/>
      <c r="IV147" s="4"/>
    </row>
    <row r="148" spans="2:256" ht="12.75">
      <c r="B148" s="204"/>
      <c r="C148" s="245"/>
      <c r="D148" s="104"/>
      <c r="E148" s="104"/>
      <c r="F148" s="104"/>
      <c r="G148" s="104"/>
      <c r="H148" s="104"/>
      <c r="I148" s="104"/>
      <c r="J148" s="104"/>
      <c r="K148" s="104"/>
      <c r="L148" s="104"/>
      <c r="M148" s="228"/>
      <c r="N148" s="228"/>
      <c r="O148" s="229"/>
      <c r="P148" s="207"/>
      <c r="Q148" s="208"/>
      <c r="R148" s="209"/>
      <c r="S148" s="35"/>
      <c r="T148" s="43"/>
      <c r="U148" s="43"/>
      <c r="V148" s="43"/>
      <c r="W148" s="43"/>
      <c r="X148" s="512"/>
      <c r="Y148" s="517"/>
      <c r="Z148" s="508"/>
      <c r="AA148" s="6"/>
      <c r="AB148" s="22">
        <f>24*12</f>
        <v>288</v>
      </c>
      <c r="AC148" s="4"/>
      <c r="AD148" s="4"/>
      <c r="AE148" s="14">
        <f>Y85</f>
        <v>8162.46</v>
      </c>
      <c r="AF148" s="4"/>
      <c r="AG148" s="4"/>
      <c r="AH148" s="4"/>
      <c r="AI148" s="4"/>
      <c r="AJ148" s="43"/>
      <c r="AK148" s="4"/>
      <c r="AL148" s="43"/>
      <c r="AM148" s="43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6"/>
      <c r="HP148" s="4"/>
      <c r="HQ148" s="4"/>
      <c r="HR148" s="22"/>
      <c r="HS148" s="22"/>
      <c r="HT148" s="22"/>
      <c r="HU148" s="22"/>
      <c r="HV148" s="6" t="s">
        <v>28</v>
      </c>
      <c r="HW148" s="13">
        <f t="shared" si="130"/>
        <v>0</v>
      </c>
      <c r="HX148" s="27">
        <f t="shared" si="131"/>
        <v>0</v>
      </c>
      <c r="HY148" s="6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13"/>
      <c r="IO148" s="4"/>
      <c r="IP148" s="4"/>
      <c r="IQ148" s="13"/>
      <c r="IR148" s="4"/>
      <c r="IS148" s="4"/>
      <c r="IT148" s="4"/>
      <c r="IU148" s="4"/>
      <c r="IV148" s="4"/>
    </row>
    <row r="149" spans="2:256" ht="12.75">
      <c r="B149" s="204"/>
      <c r="C149" s="245"/>
      <c r="D149" s="165" t="s">
        <v>761</v>
      </c>
      <c r="E149" s="165" t="s">
        <v>762</v>
      </c>
      <c r="F149" s="104"/>
      <c r="G149" s="104"/>
      <c r="H149" s="104"/>
      <c r="I149" s="104"/>
      <c r="J149" s="104"/>
      <c r="K149" s="104"/>
      <c r="L149" s="104"/>
      <c r="M149" s="275"/>
      <c r="N149" s="228"/>
      <c r="O149" s="229">
        <f>(O89)</f>
        <v>7525.8060000000005</v>
      </c>
      <c r="P149" s="207"/>
      <c r="Q149" s="208"/>
      <c r="R149" s="209"/>
      <c r="S149" s="182" t="s">
        <v>845</v>
      </c>
      <c r="T149" s="47" t="s">
        <v>846</v>
      </c>
      <c r="U149" s="36"/>
      <c r="V149" s="36"/>
      <c r="W149" s="43"/>
      <c r="X149" s="512">
        <f>(Y149/$Y$135)</f>
        <v>0.2881057823636349</v>
      </c>
      <c r="Y149" s="517">
        <v>55680</v>
      </c>
      <c r="Z149" s="508">
        <f>(Y149/$BD$2)*1000</f>
        <v>278400</v>
      </c>
      <c r="AA149" s="6"/>
      <c r="AB149" s="22">
        <f>((175*1180*16)+((164*320*24)*2)+(168*650*16))/1000</f>
        <v>7570.24</v>
      </c>
      <c r="AC149" s="4"/>
      <c r="AD149" s="11">
        <f>(AB148)</f>
        <v>288</v>
      </c>
      <c r="AE149" s="14">
        <f>Y86</f>
        <v>755</v>
      </c>
      <c r="AF149" s="4"/>
      <c r="AG149" s="4"/>
      <c r="AH149" s="4"/>
      <c r="AI149" s="4"/>
      <c r="AJ149" s="43"/>
      <c r="AK149" s="4"/>
      <c r="AL149" s="43"/>
      <c r="AM149" s="43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6"/>
      <c r="HP149" s="4"/>
      <c r="HQ149" s="4"/>
      <c r="HR149" s="22"/>
      <c r="HS149" s="22"/>
      <c r="HT149" s="22"/>
      <c r="HU149" s="22"/>
      <c r="HV149" s="6" t="s">
        <v>28</v>
      </c>
      <c r="HW149" s="13">
        <f t="shared" si="130"/>
        <v>0</v>
      </c>
      <c r="HX149" s="27">
        <f t="shared" si="131"/>
        <v>0</v>
      </c>
      <c r="HY149" s="6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13"/>
      <c r="IO149" s="4"/>
      <c r="IP149" s="4"/>
      <c r="IQ149" s="13"/>
      <c r="IR149" s="4"/>
      <c r="IS149" s="4"/>
      <c r="IT149" s="4"/>
      <c r="IU149" s="4"/>
      <c r="IV149" s="4"/>
    </row>
    <row r="150" spans="2:256" ht="12.75">
      <c r="B150" s="204"/>
      <c r="C150" s="245"/>
      <c r="D150" s="104"/>
      <c r="E150" s="104"/>
      <c r="F150" s="104"/>
      <c r="G150" s="104"/>
      <c r="H150" s="104"/>
      <c r="I150" s="104"/>
      <c r="J150" s="104"/>
      <c r="K150" s="104"/>
      <c r="L150" s="104"/>
      <c r="M150" s="228"/>
      <c r="N150" s="228"/>
      <c r="O150" s="229"/>
      <c r="P150" s="207"/>
      <c r="Q150" s="208"/>
      <c r="R150" s="209"/>
      <c r="S150" s="35"/>
      <c r="T150" s="43"/>
      <c r="U150" s="43"/>
      <c r="V150" s="43"/>
      <c r="W150" s="43"/>
      <c r="X150" s="512"/>
      <c r="Y150" s="516"/>
      <c r="Z150" s="508"/>
      <c r="AA150" s="6"/>
      <c r="AB150" s="5" t="s">
        <v>0</v>
      </c>
      <c r="AC150" s="4"/>
      <c r="AD150" s="4"/>
      <c r="AE150" s="14">
        <f>Y87</f>
        <v>6000</v>
      </c>
      <c r="AF150" s="4"/>
      <c r="AG150" s="4"/>
      <c r="AH150" s="4"/>
      <c r="AI150" s="4"/>
      <c r="AJ150" s="43"/>
      <c r="AK150" s="4"/>
      <c r="AL150" s="43"/>
      <c r="AM150" s="43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6"/>
      <c r="HP150" s="4"/>
      <c r="HQ150" s="4"/>
      <c r="HR150" s="22"/>
      <c r="HS150" s="22"/>
      <c r="HT150" s="22"/>
      <c r="HU150" s="22"/>
      <c r="HV150" s="6" t="s">
        <v>28</v>
      </c>
      <c r="HW150" s="13">
        <f t="shared" si="130"/>
        <v>0</v>
      </c>
      <c r="HX150" s="27">
        <f t="shared" si="131"/>
        <v>0</v>
      </c>
      <c r="HY150" s="6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13"/>
      <c r="IO150" s="4"/>
      <c r="IP150" s="4"/>
      <c r="IQ150" s="13"/>
      <c r="IR150" s="4"/>
      <c r="IS150" s="4"/>
      <c r="IT150" s="4"/>
      <c r="IU150" s="4"/>
      <c r="IV150" s="4"/>
    </row>
    <row r="151" spans="2:256" ht="12.75">
      <c r="B151" s="204"/>
      <c r="C151" s="245"/>
      <c r="D151" s="165" t="s">
        <v>766</v>
      </c>
      <c r="E151" s="165" t="s">
        <v>767</v>
      </c>
      <c r="F151" s="104"/>
      <c r="G151" s="104"/>
      <c r="H151" s="104"/>
      <c r="I151" s="104"/>
      <c r="J151" s="104"/>
      <c r="K151" s="104"/>
      <c r="L151" s="104"/>
      <c r="M151" s="239"/>
      <c r="N151" s="239"/>
      <c r="O151" s="229">
        <f>(O91)</f>
        <v>0</v>
      </c>
      <c r="P151" s="207"/>
      <c r="Q151" s="208"/>
      <c r="R151" s="209"/>
      <c r="S151" s="182" t="s">
        <v>800</v>
      </c>
      <c r="T151" s="47" t="s">
        <v>847</v>
      </c>
      <c r="U151" s="36"/>
      <c r="V151" s="36"/>
      <c r="W151" s="36"/>
      <c r="X151" s="512">
        <f>(Y151/$Y$135)</f>
        <v>0.025871568100182728</v>
      </c>
      <c r="Y151" s="519">
        <v>5000</v>
      </c>
      <c r="Z151" s="508">
        <f>(Y151/$BD$2)*1000</f>
        <v>25000</v>
      </c>
      <c r="AA151" s="6"/>
      <c r="AB151" s="22">
        <f>(AB149*AB148)/1000</f>
        <v>2180.22912</v>
      </c>
      <c r="AC151" s="4"/>
      <c r="AD151" s="4"/>
      <c r="AE151" s="14">
        <f>Y88</f>
        <v>700</v>
      </c>
      <c r="AF151" s="4"/>
      <c r="AG151" s="4"/>
      <c r="AH151" s="4"/>
      <c r="AI151" s="4"/>
      <c r="AJ151" s="43"/>
      <c r="AK151" s="4"/>
      <c r="AL151" s="43"/>
      <c r="AM151" s="43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6"/>
      <c r="HP151" s="4"/>
      <c r="HQ151" s="4"/>
      <c r="HR151" s="22"/>
      <c r="HS151" s="22"/>
      <c r="HT151" s="22"/>
      <c r="HU151" s="22"/>
      <c r="HV151" s="6" t="s">
        <v>28</v>
      </c>
      <c r="HW151" s="13">
        <f t="shared" si="130"/>
        <v>0</v>
      </c>
      <c r="HX151" s="27">
        <f t="shared" si="131"/>
        <v>0</v>
      </c>
      <c r="HY151" s="6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13"/>
      <c r="IO151" s="4"/>
      <c r="IP151" s="4"/>
      <c r="IQ151" s="13"/>
      <c r="IR151" s="4"/>
      <c r="IS151" s="4"/>
      <c r="IT151" s="4"/>
      <c r="IU151" s="4"/>
      <c r="IV151" s="4"/>
    </row>
    <row r="152" spans="2:256" ht="12.75">
      <c r="B152" s="204"/>
      <c r="C152" s="245"/>
      <c r="D152" s="104"/>
      <c r="E152" s="104"/>
      <c r="F152" s="104"/>
      <c r="G152" s="104"/>
      <c r="H152" s="104"/>
      <c r="I152" s="104"/>
      <c r="J152" s="104"/>
      <c r="K152" s="104"/>
      <c r="L152" s="104"/>
      <c r="M152" s="228"/>
      <c r="N152" s="228"/>
      <c r="O152" s="229"/>
      <c r="P152" s="207"/>
      <c r="Q152" s="208"/>
      <c r="R152" s="209"/>
      <c r="S152" s="59"/>
      <c r="T152" s="36"/>
      <c r="U152" s="36"/>
      <c r="V152" s="36"/>
      <c r="W152" s="36"/>
      <c r="X152" s="512"/>
      <c r="Y152" s="520"/>
      <c r="Z152" s="508"/>
      <c r="AA152" s="6"/>
      <c r="AB152" s="4"/>
      <c r="AC152" s="4"/>
      <c r="AD152" s="4"/>
      <c r="AE152" s="14">
        <f>Y89</f>
        <v>0</v>
      </c>
      <c r="AF152" s="4"/>
      <c r="AG152" s="4"/>
      <c r="AH152" s="4"/>
      <c r="AI152" s="4"/>
      <c r="AJ152" s="43"/>
      <c r="AK152" s="4"/>
      <c r="AL152" s="43"/>
      <c r="AM152" s="43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6"/>
      <c r="HP152" s="4"/>
      <c r="HQ152" s="4"/>
      <c r="HR152" s="4"/>
      <c r="HS152" s="8"/>
      <c r="HT152" s="5" t="s">
        <v>779</v>
      </c>
      <c r="HU152" s="8"/>
      <c r="HV152" s="6" t="s">
        <v>28</v>
      </c>
      <c r="HW152" s="13">
        <f>SUM(HW128:HW150)</f>
        <v>324.162</v>
      </c>
      <c r="HX152" s="27">
        <f t="shared" si="131"/>
        <v>1620.81</v>
      </c>
      <c r="HY152" s="6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13"/>
      <c r="IO152" s="4"/>
      <c r="IP152" s="4"/>
      <c r="IQ152" s="13"/>
      <c r="IR152" s="4"/>
      <c r="IS152" s="4"/>
      <c r="IT152" s="4"/>
      <c r="IU152" s="4"/>
      <c r="IV152" s="4"/>
    </row>
    <row r="153" spans="2:256" ht="12.75">
      <c r="B153" s="204"/>
      <c r="C153" s="245"/>
      <c r="D153" s="165" t="s">
        <v>774</v>
      </c>
      <c r="E153" s="165" t="s">
        <v>775</v>
      </c>
      <c r="F153" s="104"/>
      <c r="G153" s="104"/>
      <c r="H153" s="104"/>
      <c r="I153" s="104"/>
      <c r="J153" s="104"/>
      <c r="K153" s="104"/>
      <c r="L153" s="104"/>
      <c r="M153" s="228"/>
      <c r="N153" s="228"/>
      <c r="O153" s="229">
        <f>(O93)</f>
        <v>26184.082097279996</v>
      </c>
      <c r="P153" s="207"/>
      <c r="Q153" s="208"/>
      <c r="R153" s="209"/>
      <c r="S153" s="182"/>
      <c r="T153" s="47"/>
      <c r="U153" s="36"/>
      <c r="V153" s="36"/>
      <c r="W153" s="36"/>
      <c r="X153" s="514"/>
      <c r="Y153" s="521"/>
      <c r="Z153" s="510">
        <f>(Y153/$BD$2)*1000</f>
        <v>0</v>
      </c>
      <c r="AA153" s="6"/>
      <c r="AB153" s="4"/>
      <c r="AC153" s="4"/>
      <c r="AD153" s="4"/>
      <c r="AE153" s="4"/>
      <c r="AF153" s="4"/>
      <c r="AG153" s="4"/>
      <c r="AH153" s="4"/>
      <c r="AI153" s="4"/>
      <c r="AJ153" s="43"/>
      <c r="AK153" s="4"/>
      <c r="AL153" s="43"/>
      <c r="AM153" s="43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6"/>
      <c r="HP153" s="4"/>
      <c r="HQ153" s="4"/>
      <c r="HR153" s="4"/>
      <c r="HS153" s="4"/>
      <c r="HT153" s="25" t="s">
        <v>292</v>
      </c>
      <c r="HU153" s="4"/>
      <c r="HV153" s="6" t="s">
        <v>28</v>
      </c>
      <c r="HW153" s="14">
        <f>SUM(HW129:HW151)*14</f>
        <v>4538.268</v>
      </c>
      <c r="HX153" s="32">
        <f t="shared" si="131"/>
        <v>22691.34</v>
      </c>
      <c r="HY153" s="6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13"/>
      <c r="IO153" s="4"/>
      <c r="IP153" s="4"/>
      <c r="IQ153" s="13"/>
      <c r="IR153" s="4"/>
      <c r="IS153" s="4"/>
      <c r="IT153" s="4"/>
      <c r="IU153" s="4"/>
      <c r="IV153" s="4"/>
    </row>
    <row r="154" spans="2:256" ht="12.75">
      <c r="B154" s="204"/>
      <c r="C154" s="245"/>
      <c r="D154" s="104"/>
      <c r="E154" s="104"/>
      <c r="F154" s="104"/>
      <c r="G154" s="104"/>
      <c r="H154" s="104"/>
      <c r="I154" s="104"/>
      <c r="J154" s="104"/>
      <c r="K154" s="104"/>
      <c r="L154" s="104"/>
      <c r="M154" s="228"/>
      <c r="N154" s="228"/>
      <c r="O154" s="229"/>
      <c r="P154" s="207"/>
      <c r="Q154" s="208"/>
      <c r="R154" s="209"/>
      <c r="S154" s="35"/>
      <c r="T154" s="43"/>
      <c r="U154" s="43"/>
      <c r="V154" s="43"/>
      <c r="W154" s="43"/>
      <c r="X154" s="187"/>
      <c r="Y154" s="161"/>
      <c r="Z154" s="80"/>
      <c r="AA154" s="6"/>
      <c r="AB154" s="4"/>
      <c r="AC154" s="4"/>
      <c r="AD154" s="4"/>
      <c r="AE154" s="15">
        <f>SUM(AE155:AE156)</f>
        <v>17539.22209728</v>
      </c>
      <c r="AF154" s="4"/>
      <c r="AG154" s="4"/>
      <c r="AH154" s="4"/>
      <c r="AI154" s="4"/>
      <c r="AJ154" s="43"/>
      <c r="AK154" s="4"/>
      <c r="AL154" s="43"/>
      <c r="AM154" s="43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6"/>
      <c r="HP154" s="4"/>
      <c r="HQ154" s="4"/>
      <c r="HR154" s="4"/>
      <c r="HS154" s="8"/>
      <c r="HT154" s="13">
        <v>0</v>
      </c>
      <c r="HU154" s="8"/>
      <c r="HV154" s="6" t="s">
        <v>28</v>
      </c>
      <c r="HW154" s="13">
        <f>(HT154)</f>
        <v>0</v>
      </c>
      <c r="HX154" s="27">
        <f>(HW154/$BF$2)*1000</f>
        <v>0</v>
      </c>
      <c r="HY154" s="6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13"/>
      <c r="IO154" s="4"/>
      <c r="IP154" s="4"/>
      <c r="IQ154" s="13"/>
      <c r="IR154" s="4"/>
      <c r="IS154" s="4"/>
      <c r="IT154" s="4"/>
      <c r="IU154" s="4"/>
      <c r="IV154" s="4"/>
    </row>
    <row r="155" spans="2:256" ht="13.5" thickBot="1">
      <c r="B155" s="204"/>
      <c r="C155" s="245"/>
      <c r="D155" s="104"/>
      <c r="E155" s="104"/>
      <c r="F155" s="104"/>
      <c r="G155" s="104"/>
      <c r="H155" s="104"/>
      <c r="I155" s="104"/>
      <c r="J155" s="104"/>
      <c r="K155" s="104"/>
      <c r="L155" s="212"/>
      <c r="M155" s="228"/>
      <c r="N155" s="228"/>
      <c r="O155" s="229"/>
      <c r="P155" s="207"/>
      <c r="Q155" s="208"/>
      <c r="R155" s="209"/>
      <c r="S155" s="35"/>
      <c r="T155" s="43"/>
      <c r="U155" s="43"/>
      <c r="V155" s="43"/>
      <c r="W155" s="43"/>
      <c r="X155" s="188"/>
      <c r="Y155" s="43"/>
      <c r="Z155" s="189"/>
      <c r="AA155" s="6"/>
      <c r="AB155" s="4"/>
      <c r="AC155" s="4"/>
      <c r="AD155" s="4"/>
      <c r="AE155" s="14">
        <f>Y108</f>
        <v>17539.22209728</v>
      </c>
      <c r="AF155" s="4"/>
      <c r="AG155" s="4"/>
      <c r="AH155" s="4"/>
      <c r="AI155" s="4"/>
      <c r="AJ155" s="43"/>
      <c r="AK155" s="4"/>
      <c r="AL155" s="43"/>
      <c r="AM155" s="43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6"/>
      <c r="HP155" s="95" t="s">
        <v>783</v>
      </c>
      <c r="HQ155" s="96"/>
      <c r="HR155" s="11">
        <v>0</v>
      </c>
      <c r="HS155" s="8">
        <v>30</v>
      </c>
      <c r="HT155" s="21">
        <f>$BD$2</f>
        <v>200</v>
      </c>
      <c r="HU155" s="23" t="s">
        <v>784</v>
      </c>
      <c r="HV155" s="6" t="s">
        <v>28</v>
      </c>
      <c r="HW155" s="13">
        <f>(HR155*HS155*HT155)/1000</f>
        <v>0</v>
      </c>
      <c r="HX155" s="27">
        <f>(HW155/$BF$2)*1000</f>
        <v>0</v>
      </c>
      <c r="HY155" s="6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13"/>
      <c r="IO155" s="4"/>
      <c r="IP155" s="4"/>
      <c r="IQ155" s="13"/>
      <c r="IR155" s="4"/>
      <c r="IS155" s="4"/>
      <c r="IT155" s="4"/>
      <c r="IU155" s="4"/>
      <c r="IV155" s="4"/>
    </row>
    <row r="156" spans="2:256" ht="13.5" thickBot="1">
      <c r="B156" s="204"/>
      <c r="C156" s="245"/>
      <c r="D156" s="104"/>
      <c r="E156" s="104"/>
      <c r="F156" s="165" t="s">
        <v>781</v>
      </c>
      <c r="G156" s="165"/>
      <c r="H156" s="165"/>
      <c r="I156" s="104"/>
      <c r="J156" s="104"/>
      <c r="K156" s="104"/>
      <c r="L156" s="104"/>
      <c r="M156" s="370">
        <f>SUM(O135:O149)</f>
        <v>53258.266</v>
      </c>
      <c r="N156" s="228"/>
      <c r="O156" s="229"/>
      <c r="P156" s="207"/>
      <c r="Q156" s="208"/>
      <c r="R156" s="209"/>
      <c r="S156" s="59"/>
      <c r="T156" s="506" t="s">
        <v>848</v>
      </c>
      <c r="U156" s="507"/>
      <c r="V156" s="43"/>
      <c r="W156" s="43"/>
      <c r="X156" s="60" t="s">
        <v>849</v>
      </c>
      <c r="Y156" s="60" t="s">
        <v>9</v>
      </c>
      <c r="Z156" s="189"/>
      <c r="AA156" s="6"/>
      <c r="AB156" s="4"/>
      <c r="AC156" s="4"/>
      <c r="AD156" s="4"/>
      <c r="AE156" s="14">
        <f>Y109</f>
        <v>0</v>
      </c>
      <c r="AF156" s="4"/>
      <c r="AG156" s="4"/>
      <c r="AH156" s="4"/>
      <c r="AI156" s="4"/>
      <c r="AJ156" s="43"/>
      <c r="AK156" s="4"/>
      <c r="AL156" s="43"/>
      <c r="AM156" s="43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6"/>
      <c r="HP156" s="95" t="s">
        <v>787</v>
      </c>
      <c r="HQ156" s="96"/>
      <c r="HR156" s="11">
        <v>0</v>
      </c>
      <c r="HS156" s="13">
        <v>2</v>
      </c>
      <c r="HT156" s="13">
        <v>100</v>
      </c>
      <c r="HU156" s="23" t="s">
        <v>789</v>
      </c>
      <c r="HV156" s="6" t="s">
        <v>28</v>
      </c>
      <c r="HW156" s="13">
        <f>(HR156*HS156*HT156)</f>
        <v>0</v>
      </c>
      <c r="HX156" s="27">
        <f>(HW156/$BF$2)*1000</f>
        <v>0</v>
      </c>
      <c r="HY156" s="6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13"/>
      <c r="IO156" s="4"/>
      <c r="IP156" s="4"/>
      <c r="IQ156" s="13"/>
      <c r="IR156" s="4"/>
      <c r="IS156" s="4"/>
      <c r="IT156" s="4"/>
      <c r="IU156" s="4"/>
      <c r="IV156" s="4"/>
    </row>
    <row r="157" spans="2:256" ht="12.75">
      <c r="B157" s="204"/>
      <c r="C157" s="245"/>
      <c r="D157" s="104"/>
      <c r="E157" s="104"/>
      <c r="F157" s="104"/>
      <c r="G157" s="104"/>
      <c r="H157" s="104"/>
      <c r="I157" s="104"/>
      <c r="J157" s="104"/>
      <c r="K157" s="104"/>
      <c r="L157" s="104"/>
      <c r="M157" s="228"/>
      <c r="N157" s="228"/>
      <c r="O157" s="229"/>
      <c r="P157" s="207"/>
      <c r="Q157" s="208"/>
      <c r="R157" s="209"/>
      <c r="S157" s="59"/>
      <c r="T157" s="43"/>
      <c r="U157" s="43"/>
      <c r="V157" s="43"/>
      <c r="W157" s="43"/>
      <c r="X157" s="43"/>
      <c r="Y157" s="43"/>
      <c r="Z157" s="189"/>
      <c r="AA157" s="6"/>
      <c r="AB157" s="4"/>
      <c r="AC157" s="4"/>
      <c r="AD157" s="4"/>
      <c r="AE157" s="4"/>
      <c r="AF157" s="4"/>
      <c r="AG157" s="4"/>
      <c r="AH157" s="4"/>
      <c r="AI157" s="4"/>
      <c r="AJ157" s="43"/>
      <c r="AK157" s="4"/>
      <c r="AL157" s="43"/>
      <c r="AM157" s="43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6"/>
      <c r="HP157" s="95" t="s">
        <v>790</v>
      </c>
      <c r="HQ157" s="96"/>
      <c r="HR157" s="11">
        <v>0</v>
      </c>
      <c r="HS157" s="13">
        <v>2</v>
      </c>
      <c r="HT157" s="13">
        <v>100</v>
      </c>
      <c r="HU157" s="23" t="s">
        <v>789</v>
      </c>
      <c r="HV157" s="6" t="s">
        <v>28</v>
      </c>
      <c r="HW157" s="13">
        <f>(HR157*HS157*HT157)</f>
        <v>0</v>
      </c>
      <c r="HX157" s="27">
        <f>(HW157/$BF$2)*1000</f>
        <v>0</v>
      </c>
      <c r="HY157" s="6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13"/>
      <c r="IO157" s="4"/>
      <c r="IP157" s="4"/>
      <c r="IQ157" s="13"/>
      <c r="IR157" s="4"/>
      <c r="IS157" s="4"/>
      <c r="IT157" s="4"/>
      <c r="IU157" s="4"/>
      <c r="IV157" s="4"/>
    </row>
    <row r="158" spans="2:256" ht="13.5" thickBot="1">
      <c r="B158" s="204"/>
      <c r="C158" s="245"/>
      <c r="D158" s="104"/>
      <c r="E158" s="104"/>
      <c r="F158" s="165" t="s">
        <v>785</v>
      </c>
      <c r="G158" s="165"/>
      <c r="H158" s="165"/>
      <c r="I158" s="104"/>
      <c r="J158" s="104"/>
      <c r="K158" s="104"/>
      <c r="L158" s="104"/>
      <c r="M158" s="382">
        <f>SUM(O135:O153)</f>
        <v>79442.34809728</v>
      </c>
      <c r="N158" s="228"/>
      <c r="O158" s="208"/>
      <c r="P158" s="207"/>
      <c r="Q158" s="208"/>
      <c r="R158" s="209"/>
      <c r="S158" s="59"/>
      <c r="T158" s="43"/>
      <c r="U158" s="73"/>
      <c r="V158" s="190"/>
      <c r="W158" s="190"/>
      <c r="X158" s="190"/>
      <c r="Y158" s="190"/>
      <c r="Z158" s="191"/>
      <c r="AA158" s="6"/>
      <c r="AB158" s="4"/>
      <c r="AC158" s="4"/>
      <c r="AD158" s="4"/>
      <c r="AE158" s="15">
        <f>SUM(AE159:AE163)</f>
        <v>0</v>
      </c>
      <c r="AF158" s="4"/>
      <c r="AG158" s="4"/>
      <c r="AH158" s="4"/>
      <c r="AI158" s="4"/>
      <c r="AJ158" s="43"/>
      <c r="AK158" s="4"/>
      <c r="AL158" s="43"/>
      <c r="AM158" s="43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6"/>
      <c r="HP158" s="4"/>
      <c r="HQ158" s="4"/>
      <c r="HR158" s="4"/>
      <c r="HS158" s="8"/>
      <c r="HT158" s="8"/>
      <c r="HU158" s="8"/>
      <c r="HV158" s="6" t="s">
        <v>28</v>
      </c>
      <c r="HW158" s="13"/>
      <c r="HX158" s="27"/>
      <c r="HY158" s="6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13"/>
      <c r="IO158" s="4"/>
      <c r="IP158" s="4"/>
      <c r="IQ158" s="13"/>
      <c r="IR158" s="4"/>
      <c r="IS158" s="4"/>
      <c r="IT158" s="4"/>
      <c r="IU158" s="4"/>
      <c r="IV158" s="4"/>
    </row>
    <row r="159" spans="2:256" ht="13.5" thickBot="1">
      <c r="B159" s="204"/>
      <c r="C159" s="24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73" t="s">
        <v>786</v>
      </c>
      <c r="P159" s="207"/>
      <c r="Q159" s="208"/>
      <c r="R159" s="209"/>
      <c r="S159" s="59"/>
      <c r="T159" s="43"/>
      <c r="U159" s="73"/>
      <c r="V159" s="374" t="s">
        <v>850</v>
      </c>
      <c r="W159" s="375" t="s">
        <v>851</v>
      </c>
      <c r="X159" s="504">
        <f>(X163/30.5)</f>
        <v>528.0392024515847</v>
      </c>
      <c r="Y159" s="547">
        <f>X159/$BD$2*1000</f>
        <v>2640.1960122579235</v>
      </c>
      <c r="Z159" s="191"/>
      <c r="AA159" s="6"/>
      <c r="AB159" s="4"/>
      <c r="AC159" s="4"/>
      <c r="AD159" s="4"/>
      <c r="AE159" s="14">
        <f>Y101</f>
        <v>0</v>
      </c>
      <c r="AF159" s="4"/>
      <c r="AG159" s="4"/>
      <c r="AH159" s="4"/>
      <c r="AI159" s="4"/>
      <c r="AJ159" s="43"/>
      <c r="AK159" s="4"/>
      <c r="AL159" s="43"/>
      <c r="AM159" s="43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6"/>
      <c r="HP159" s="9" t="s">
        <v>796</v>
      </c>
      <c r="HQ159" s="4"/>
      <c r="HR159" s="4"/>
      <c r="HS159" s="8"/>
      <c r="HT159" s="8"/>
      <c r="HU159" s="8"/>
      <c r="HV159" s="6" t="s">
        <v>28</v>
      </c>
      <c r="HW159" s="13"/>
      <c r="HX159" s="27"/>
      <c r="HY159" s="6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13"/>
      <c r="IO159" s="4"/>
      <c r="IP159" s="4"/>
      <c r="IQ159" s="13"/>
      <c r="IR159" s="4"/>
      <c r="IS159" s="4"/>
      <c r="IT159" s="4"/>
      <c r="IU159" s="4"/>
      <c r="IV159" s="4"/>
    </row>
    <row r="160" spans="2:256" ht="13.5" thickBot="1">
      <c r="B160" s="204"/>
      <c r="C160" s="245"/>
      <c r="D160" s="165" t="s">
        <v>793</v>
      </c>
      <c r="E160" s="104"/>
      <c r="F160" s="104"/>
      <c r="G160" s="104"/>
      <c r="H160" s="104"/>
      <c r="I160" s="104"/>
      <c r="J160" s="104"/>
      <c r="K160" s="104"/>
      <c r="L160" s="311">
        <v>366</v>
      </c>
      <c r="M160" s="206" t="s">
        <v>794</v>
      </c>
      <c r="N160" s="206"/>
      <c r="O160" s="370">
        <f>(M156/L160)</f>
        <v>145.51438797814208</v>
      </c>
      <c r="P160" s="207"/>
      <c r="Q160" s="208"/>
      <c r="R160" s="209"/>
      <c r="S160" s="59"/>
      <c r="T160" s="43"/>
      <c r="U160" s="73"/>
      <c r="V160" s="376"/>
      <c r="W160" s="261"/>
      <c r="X160" s="350"/>
      <c r="Y160" s="377"/>
      <c r="Z160" s="191"/>
      <c r="AA160" s="6"/>
      <c r="AB160" s="4"/>
      <c r="AC160" s="4"/>
      <c r="AD160" s="4"/>
      <c r="AE160" s="14">
        <f>Y102</f>
        <v>0</v>
      </c>
      <c r="AF160" s="4"/>
      <c r="AG160" s="4"/>
      <c r="AH160" s="4"/>
      <c r="AI160" s="4"/>
      <c r="AJ160" s="43"/>
      <c r="AK160" s="4"/>
      <c r="AL160" s="43"/>
      <c r="AM160" s="43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6"/>
      <c r="HP160" s="4"/>
      <c r="HQ160" s="4"/>
      <c r="HR160" s="4"/>
      <c r="HS160" s="8"/>
      <c r="HT160" s="8"/>
      <c r="HU160" s="8"/>
      <c r="HV160" s="6" t="s">
        <v>28</v>
      </c>
      <c r="HW160" s="13"/>
      <c r="HX160" s="27"/>
      <c r="HY160" s="6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13"/>
      <c r="IO160" s="4"/>
      <c r="IP160" s="4"/>
      <c r="IQ160" s="13"/>
      <c r="IR160" s="4"/>
      <c r="IS160" s="4"/>
      <c r="IT160" s="4"/>
      <c r="IU160" s="4"/>
      <c r="IV160" s="4"/>
    </row>
    <row r="161" spans="2:256" ht="13.5" thickBot="1">
      <c r="B161" s="204"/>
      <c r="C161" s="24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66"/>
      <c r="P161" s="207"/>
      <c r="Q161" s="208"/>
      <c r="R161" s="209"/>
      <c r="S161" s="59"/>
      <c r="T161" s="43"/>
      <c r="U161" s="73"/>
      <c r="V161" s="378" t="s">
        <v>852</v>
      </c>
      <c r="W161" s="261"/>
      <c r="X161" s="515">
        <f>(Y135)</f>
        <v>193262.34809728002</v>
      </c>
      <c r="Y161" s="505">
        <f>(Z135)</f>
        <v>966311.7404864001</v>
      </c>
      <c r="Z161" s="191"/>
      <c r="AA161" s="6"/>
      <c r="AB161" s="4"/>
      <c r="AC161" s="4"/>
      <c r="AD161" s="4"/>
      <c r="AE161" s="14">
        <f>Y103</f>
        <v>0</v>
      </c>
      <c r="AF161" s="4"/>
      <c r="AG161" s="4"/>
      <c r="AH161" s="4"/>
      <c r="AI161" s="4"/>
      <c r="AJ161" s="43"/>
      <c r="AK161" s="4"/>
      <c r="AL161" s="43"/>
      <c r="AM161" s="43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6"/>
      <c r="HP161" s="95" t="s">
        <v>803</v>
      </c>
      <c r="HQ161" s="4"/>
      <c r="HR161" s="120">
        <f>(HR171)</f>
        <v>8</v>
      </c>
      <c r="HS161" s="97">
        <v>365</v>
      </c>
      <c r="HT161" s="97">
        <v>1750</v>
      </c>
      <c r="HU161" s="121"/>
      <c r="HV161" s="6" t="s">
        <v>28</v>
      </c>
      <c r="HW161" s="14">
        <f>(HR161*HS161*HT161)/1000</f>
        <v>5110</v>
      </c>
      <c r="HX161" s="32">
        <f>(HW161/$BF$2)*1000</f>
        <v>25550</v>
      </c>
      <c r="HY161" s="6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13"/>
      <c r="IO161" s="4"/>
      <c r="IP161" s="4"/>
      <c r="IQ161" s="13"/>
      <c r="IR161" s="4"/>
      <c r="IS161" s="4"/>
      <c r="IT161" s="4"/>
      <c r="IU161" s="4"/>
      <c r="IV161" s="4"/>
    </row>
    <row r="162" spans="2:256" ht="13.5" thickBot="1">
      <c r="B162" s="204"/>
      <c r="C162" s="245"/>
      <c r="D162" s="230" t="s">
        <v>798</v>
      </c>
      <c r="E162" s="231"/>
      <c r="F162" s="231"/>
      <c r="G162" s="231"/>
      <c r="H162" s="231"/>
      <c r="I162" s="205"/>
      <c r="J162" s="205"/>
      <c r="K162" s="205"/>
      <c r="L162" s="372">
        <f>(BD2)</f>
        <v>200</v>
      </c>
      <c r="M162" s="206" t="s">
        <v>799</v>
      </c>
      <c r="N162" s="206"/>
      <c r="O162" s="380">
        <f>(O160/L162)*1000</f>
        <v>727.5719398907105</v>
      </c>
      <c r="P162" s="207"/>
      <c r="Q162" s="208"/>
      <c r="R162" s="209"/>
      <c r="S162" s="59"/>
      <c r="T162" s="43"/>
      <c r="U162" s="73"/>
      <c r="V162" s="376"/>
      <c r="W162" s="261"/>
      <c r="X162" s="545"/>
      <c r="Y162" s="377"/>
      <c r="Z162" s="191"/>
      <c r="AA162" s="6"/>
      <c r="AB162" s="4"/>
      <c r="AC162" s="4"/>
      <c r="AD162" s="4"/>
      <c r="AE162" s="14">
        <f>Y104</f>
        <v>0</v>
      </c>
      <c r="AF162" s="4"/>
      <c r="AG162" s="4"/>
      <c r="AH162" s="4"/>
      <c r="AI162" s="4"/>
      <c r="AJ162" s="43"/>
      <c r="AK162" s="4"/>
      <c r="AL162" s="43"/>
      <c r="AM162" s="43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6"/>
      <c r="HP162" s="4"/>
      <c r="HQ162" s="4"/>
      <c r="HR162" s="4"/>
      <c r="HS162" s="8"/>
      <c r="HT162" s="8"/>
      <c r="HU162" s="8"/>
      <c r="HV162" s="6" t="s">
        <v>28</v>
      </c>
      <c r="HW162" s="13"/>
      <c r="HX162" s="27"/>
      <c r="HY162" s="6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13"/>
      <c r="IO162" s="4"/>
      <c r="IP162" s="4"/>
      <c r="IQ162" s="13"/>
      <c r="IR162" s="4"/>
      <c r="IS162" s="4"/>
      <c r="IT162" s="4"/>
      <c r="IU162" s="4"/>
      <c r="IV162" s="4"/>
    </row>
    <row r="163" spans="2:256" ht="13.5" thickBot="1">
      <c r="B163" s="204"/>
      <c r="C163" s="245"/>
      <c r="D163" s="205"/>
      <c r="E163" s="205"/>
      <c r="F163" s="205"/>
      <c r="G163" s="205"/>
      <c r="H163" s="205"/>
      <c r="I163" s="205"/>
      <c r="J163" s="205"/>
      <c r="K163" s="205"/>
      <c r="L163" s="276"/>
      <c r="M163" s="205"/>
      <c r="N163" s="205"/>
      <c r="O163" s="266"/>
      <c r="P163" s="207"/>
      <c r="Q163" s="208"/>
      <c r="R163" s="209"/>
      <c r="S163" s="59"/>
      <c r="T163" s="43"/>
      <c r="U163" s="73"/>
      <c r="V163" s="379" t="s">
        <v>853</v>
      </c>
      <c r="W163" s="293"/>
      <c r="X163" s="546">
        <f>(X161/12)</f>
        <v>16105.195674773335</v>
      </c>
      <c r="Y163" s="504">
        <f>(Y161/12)</f>
        <v>80525.97837386667</v>
      </c>
      <c r="Z163" s="191"/>
      <c r="AA163" s="6"/>
      <c r="AB163" s="4"/>
      <c r="AC163" s="4"/>
      <c r="AD163" s="4"/>
      <c r="AE163" s="14">
        <f>Y105</f>
        <v>0</v>
      </c>
      <c r="AF163" s="4"/>
      <c r="AG163" s="4"/>
      <c r="AH163" s="4"/>
      <c r="AI163" s="4"/>
      <c r="AJ163" s="43"/>
      <c r="AK163" s="4"/>
      <c r="AL163" s="43"/>
      <c r="AM163" s="43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6"/>
      <c r="HP163" s="9" t="s">
        <v>806</v>
      </c>
      <c r="HQ163" s="4"/>
      <c r="HR163" s="4"/>
      <c r="HS163" s="8"/>
      <c r="HT163" s="25" t="s">
        <v>808</v>
      </c>
      <c r="HU163" s="8"/>
      <c r="HV163" s="6" t="s">
        <v>28</v>
      </c>
      <c r="HW163" s="13"/>
      <c r="HX163" s="27"/>
      <c r="HY163" s="6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13"/>
      <c r="IN163" s="4"/>
      <c r="IO163" s="4"/>
      <c r="IP163" s="13"/>
      <c r="IQ163" s="4"/>
      <c r="IR163" s="4"/>
      <c r="IS163" s="4"/>
      <c r="IT163" s="4"/>
      <c r="IU163" s="4"/>
      <c r="IV163" s="4"/>
    </row>
    <row r="164" spans="2:256" ht="12.75">
      <c r="B164" s="204"/>
      <c r="C164" s="245"/>
      <c r="D164" s="165" t="s">
        <v>805</v>
      </c>
      <c r="E164" s="104"/>
      <c r="F164" s="104"/>
      <c r="G164" s="104"/>
      <c r="H164" s="104"/>
      <c r="I164" s="104"/>
      <c r="J164" s="104"/>
      <c r="K164" s="104"/>
      <c r="L164" s="373">
        <v>366</v>
      </c>
      <c r="M164" s="206" t="s">
        <v>794</v>
      </c>
      <c r="N164" s="206"/>
      <c r="O164" s="382">
        <f>(M158/L164)</f>
        <v>217.05559589420767</v>
      </c>
      <c r="P164" s="207"/>
      <c r="Q164" s="208"/>
      <c r="R164" s="209"/>
      <c r="S164" s="59"/>
      <c r="T164" s="43"/>
      <c r="U164" s="73"/>
      <c r="V164" s="190"/>
      <c r="W164" s="190"/>
      <c r="X164" s="190"/>
      <c r="Y164" s="190"/>
      <c r="Z164" s="191"/>
      <c r="AA164" s="6"/>
      <c r="AB164" s="4"/>
      <c r="AC164" s="4"/>
      <c r="AD164" s="4"/>
      <c r="AE164" s="4"/>
      <c r="AF164" s="4"/>
      <c r="AG164" s="4"/>
      <c r="AH164" s="4"/>
      <c r="AI164" s="4"/>
      <c r="AJ164" s="43"/>
      <c r="AK164" s="4"/>
      <c r="AL164" s="43"/>
      <c r="AM164" s="43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6"/>
      <c r="HP164" s="95" t="s">
        <v>810</v>
      </c>
      <c r="HQ164" s="96"/>
      <c r="HR164" s="96"/>
      <c r="HS164" s="8"/>
      <c r="HT164" s="13">
        <v>12</v>
      </c>
      <c r="HU164" s="13">
        <v>10</v>
      </c>
      <c r="HV164" s="6" t="s">
        <v>28</v>
      </c>
      <c r="HW164" s="14">
        <f>IF(HT164&lt;=0,0,HU164*HT164)</f>
        <v>120</v>
      </c>
      <c r="HX164" s="27">
        <f aca="true" t="shared" si="132" ref="HX164:HX169">(HW164/$BF$2)*1000</f>
        <v>600</v>
      </c>
      <c r="HY164" s="6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13"/>
      <c r="IN164" s="4"/>
      <c r="IO164" s="4"/>
      <c r="IP164" s="13"/>
      <c r="IQ164" s="4"/>
      <c r="IR164" s="4"/>
      <c r="IS164" s="4"/>
      <c r="IT164" s="4"/>
      <c r="IU164" s="4"/>
      <c r="IV164" s="4"/>
    </row>
    <row r="165" spans="2:256" ht="12.75">
      <c r="B165" s="204"/>
      <c r="C165" s="24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66"/>
      <c r="P165" s="207"/>
      <c r="Q165" s="208"/>
      <c r="R165" s="209"/>
      <c r="S165" s="59"/>
      <c r="T165" s="43"/>
      <c r="U165" s="43"/>
      <c r="V165" s="43"/>
      <c r="W165" s="43"/>
      <c r="X165" s="43"/>
      <c r="Y165" s="43"/>
      <c r="Z165" s="189"/>
      <c r="AA165" s="6"/>
      <c r="AB165" s="4"/>
      <c r="AC165" s="4"/>
      <c r="AD165" s="4"/>
      <c r="AE165" s="15">
        <f>SUM(AE166:AE168)</f>
        <v>59140</v>
      </c>
      <c r="AF165" s="4"/>
      <c r="AG165" s="4"/>
      <c r="AH165" s="4"/>
      <c r="AI165" s="4"/>
      <c r="AJ165" s="43"/>
      <c r="AK165" s="4"/>
      <c r="AL165" s="43"/>
      <c r="AM165" s="43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6"/>
      <c r="HP165" s="95" t="s">
        <v>813</v>
      </c>
      <c r="HQ165" s="96"/>
      <c r="HR165" s="96"/>
      <c r="HS165" s="19">
        <f>6.5/100</f>
        <v>0.065</v>
      </c>
      <c r="HT165" s="13">
        <v>1</v>
      </c>
      <c r="HU165" s="13">
        <f>(HS165*HW153)</f>
        <v>294.98742</v>
      </c>
      <c r="HV165" s="6" t="s">
        <v>28</v>
      </c>
      <c r="HW165" s="14">
        <f>IF(HT165&lt;=0,0,HU165)</f>
        <v>294.98742</v>
      </c>
      <c r="HX165" s="27">
        <f t="shared" si="132"/>
        <v>1474.9371</v>
      </c>
      <c r="HY165" s="6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13"/>
      <c r="IN165" s="4"/>
      <c r="IO165" s="4"/>
      <c r="IP165" s="13"/>
      <c r="IQ165" s="4"/>
      <c r="IR165" s="4"/>
      <c r="IS165" s="4"/>
      <c r="IT165" s="4"/>
      <c r="IU165" s="4"/>
      <c r="IV165" s="4"/>
    </row>
    <row r="166" spans="2:256" ht="12.75">
      <c r="B166" s="204"/>
      <c r="C166" s="245"/>
      <c r="D166" s="230" t="s">
        <v>798</v>
      </c>
      <c r="E166" s="231"/>
      <c r="F166" s="231"/>
      <c r="G166" s="231"/>
      <c r="H166" s="231"/>
      <c r="I166" s="205"/>
      <c r="J166" s="205"/>
      <c r="K166" s="205"/>
      <c r="L166" s="381">
        <f>(L162)</f>
        <v>200</v>
      </c>
      <c r="M166" s="206" t="s">
        <v>799</v>
      </c>
      <c r="N166" s="206"/>
      <c r="O166" s="383">
        <f>(O164/L166)*1000</f>
        <v>1085.2779794710384</v>
      </c>
      <c r="P166" s="207"/>
      <c r="Q166" s="208"/>
      <c r="R166" s="209"/>
      <c r="S166" s="38"/>
      <c r="T166" s="43"/>
      <c r="U166" s="43"/>
      <c r="V166" s="43"/>
      <c r="W166" s="43"/>
      <c r="X166" s="43"/>
      <c r="Y166" s="43"/>
      <c r="Z166" s="189"/>
      <c r="AA166" s="6"/>
      <c r="AB166" s="4"/>
      <c r="AC166" s="4"/>
      <c r="AD166" s="4"/>
      <c r="AE166" s="14">
        <f>Y72</f>
        <v>6000</v>
      </c>
      <c r="AF166" s="4"/>
      <c r="AG166" s="4"/>
      <c r="AH166" s="4"/>
      <c r="AI166" s="4"/>
      <c r="AJ166" s="43"/>
      <c r="AK166" s="4"/>
      <c r="AL166" s="43"/>
      <c r="AM166" s="43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6"/>
      <c r="HP166" s="95" t="s">
        <v>814</v>
      </c>
      <c r="HQ166" s="96"/>
      <c r="HR166" s="96"/>
      <c r="HS166" s="8"/>
      <c r="HT166" s="13">
        <v>0</v>
      </c>
      <c r="HU166" s="13">
        <v>80</v>
      </c>
      <c r="HV166" s="6" t="s">
        <v>28</v>
      </c>
      <c r="HW166" s="14">
        <f>IF(HT166&lt;=0,0,HU166)</f>
        <v>0</v>
      </c>
      <c r="HX166" s="27">
        <f t="shared" si="132"/>
        <v>0</v>
      </c>
      <c r="HY166" s="6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13"/>
      <c r="IN166" s="4"/>
      <c r="IO166" s="4"/>
      <c r="IP166" s="13"/>
      <c r="IQ166" s="4"/>
      <c r="IR166" s="4"/>
      <c r="IS166" s="4"/>
      <c r="IT166" s="4"/>
      <c r="IU166" s="4"/>
      <c r="IV166" s="4"/>
    </row>
    <row r="167" spans="2:256" ht="12.75">
      <c r="B167" s="204"/>
      <c r="C167" s="24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8"/>
      <c r="P167" s="207"/>
      <c r="Q167" s="208"/>
      <c r="R167" s="209"/>
      <c r="S167" s="59"/>
      <c r="T167" s="36"/>
      <c r="U167" s="36"/>
      <c r="V167" s="37"/>
      <c r="W167" s="44"/>
      <c r="X167" s="77"/>
      <c r="Y167" s="37"/>
      <c r="Z167" s="191"/>
      <c r="AA167" s="6"/>
      <c r="AB167" s="4"/>
      <c r="AC167" s="4"/>
      <c r="AD167" s="4"/>
      <c r="AE167" s="14">
        <f>Y73</f>
        <v>0</v>
      </c>
      <c r="AF167" s="4"/>
      <c r="AG167" s="4"/>
      <c r="AH167" s="4"/>
      <c r="AI167" s="4"/>
      <c r="AJ167" s="43"/>
      <c r="AK167" s="4"/>
      <c r="AL167" s="43"/>
      <c r="AM167" s="43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6"/>
      <c r="HP167" s="95" t="s">
        <v>816</v>
      </c>
      <c r="HQ167" s="96"/>
      <c r="HR167" s="96"/>
      <c r="HS167" s="8"/>
      <c r="HT167" s="13">
        <v>0</v>
      </c>
      <c r="HU167" s="13">
        <v>450</v>
      </c>
      <c r="HV167" s="6" t="s">
        <v>28</v>
      </c>
      <c r="HW167" s="14">
        <f>IF(HT167&lt;=0,0,HU167)</f>
        <v>0</v>
      </c>
      <c r="HX167" s="27">
        <f t="shared" si="132"/>
        <v>0</v>
      </c>
      <c r="HY167" s="6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13"/>
      <c r="IN167" s="4"/>
      <c r="IO167" s="4"/>
      <c r="IP167" s="13"/>
      <c r="IQ167" s="4"/>
      <c r="IR167" s="4"/>
      <c r="IS167" s="4"/>
      <c r="IT167" s="4"/>
      <c r="IU167" s="4"/>
      <c r="IV167" s="4"/>
    </row>
    <row r="168" spans="2:256" ht="12.75">
      <c r="B168" s="204"/>
      <c r="C168" s="245"/>
      <c r="D168" s="205"/>
      <c r="E168" s="205"/>
      <c r="F168" s="104"/>
      <c r="G168" s="104"/>
      <c r="H168" s="104"/>
      <c r="I168" s="205"/>
      <c r="J168" s="205"/>
      <c r="K168" s="205"/>
      <c r="L168" s="205"/>
      <c r="M168" s="205"/>
      <c r="N168" s="205"/>
      <c r="O168" s="208"/>
      <c r="P168" s="207"/>
      <c r="Q168" s="208"/>
      <c r="R168" s="209"/>
      <c r="S168" s="59"/>
      <c r="T168" s="43"/>
      <c r="U168" s="43"/>
      <c r="V168" s="43"/>
      <c r="W168" s="43"/>
      <c r="X168" s="43"/>
      <c r="Y168" s="43"/>
      <c r="Z168" s="46"/>
      <c r="AA168" s="6"/>
      <c r="AB168" s="4"/>
      <c r="AC168" s="4"/>
      <c r="AD168" s="4"/>
      <c r="AE168" s="14">
        <f>Y74</f>
        <v>53140</v>
      </c>
      <c r="AF168" s="4"/>
      <c r="AG168" s="4"/>
      <c r="AH168" s="4"/>
      <c r="AI168" s="4"/>
      <c r="AJ168" s="43"/>
      <c r="AK168" s="4"/>
      <c r="AL168" s="43"/>
      <c r="AM168" s="43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6"/>
      <c r="HP168" s="95" t="s">
        <v>817</v>
      </c>
      <c r="HQ168" s="96"/>
      <c r="HR168" s="96"/>
      <c r="HS168" s="4"/>
      <c r="HT168" s="13">
        <v>6</v>
      </c>
      <c r="HU168" s="13">
        <v>1200</v>
      </c>
      <c r="HV168" s="6" t="s">
        <v>28</v>
      </c>
      <c r="HW168" s="14">
        <f>IF(HT168&lt;=0,0,HU168)</f>
        <v>1200</v>
      </c>
      <c r="HX168" s="27">
        <f t="shared" si="132"/>
        <v>6000</v>
      </c>
      <c r="HY168" s="6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13"/>
      <c r="IN168" s="4"/>
      <c r="IO168" s="4"/>
      <c r="IP168" s="13"/>
      <c r="IQ168" s="4"/>
      <c r="IR168" s="4"/>
      <c r="IS168" s="4"/>
      <c r="IT168" s="4"/>
      <c r="IU168" s="4"/>
      <c r="IV168" s="4"/>
    </row>
    <row r="169" spans="2:256" ht="12.75">
      <c r="B169" s="204"/>
      <c r="C169" s="245"/>
      <c r="D169" s="165" t="s">
        <v>854</v>
      </c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266"/>
      <c r="P169" s="207"/>
      <c r="Q169" s="208"/>
      <c r="R169" s="232"/>
      <c r="S169" s="59"/>
      <c r="T169" s="43"/>
      <c r="U169" s="44"/>
      <c r="V169" s="192"/>
      <c r="W169" s="60"/>
      <c r="X169" s="43"/>
      <c r="Y169" s="73"/>
      <c r="Z169" s="193"/>
      <c r="AA169" s="6"/>
      <c r="AB169" s="4"/>
      <c r="AC169" s="4"/>
      <c r="AD169" s="4"/>
      <c r="AE169" s="4"/>
      <c r="AF169" s="4"/>
      <c r="AG169" s="4"/>
      <c r="AH169" s="4"/>
      <c r="AI169" s="4"/>
      <c r="AJ169" s="43"/>
      <c r="AK169" s="4"/>
      <c r="AL169" s="43"/>
      <c r="AM169" s="43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6"/>
      <c r="HP169" s="95" t="s">
        <v>818</v>
      </c>
      <c r="HQ169" s="96"/>
      <c r="HR169" s="96"/>
      <c r="HS169" s="4"/>
      <c r="HT169" s="13">
        <v>1</v>
      </c>
      <c r="HU169" s="13">
        <v>500</v>
      </c>
      <c r="HV169" s="6" t="s">
        <v>28</v>
      </c>
      <c r="HW169" s="14">
        <f>IF(HT169&lt;=0,0,HU169)</f>
        <v>500</v>
      </c>
      <c r="HX169" s="27">
        <f t="shared" si="132"/>
        <v>2500</v>
      </c>
      <c r="HY169" s="6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13"/>
      <c r="IN169" s="4"/>
      <c r="IO169" s="4"/>
      <c r="IP169" s="13"/>
      <c r="IQ169" s="4"/>
      <c r="IR169" s="4"/>
      <c r="IS169" s="4"/>
      <c r="IT169" s="4"/>
      <c r="IU169" s="4"/>
      <c r="IV169" s="4"/>
    </row>
    <row r="170" spans="2:256" ht="12.75">
      <c r="B170" s="204"/>
      <c r="C170" s="245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266"/>
      <c r="P170" s="207"/>
      <c r="Q170" s="208"/>
      <c r="R170" s="209"/>
      <c r="S170" s="59"/>
      <c r="T170" s="43"/>
      <c r="U170" s="43"/>
      <c r="V170" s="43"/>
      <c r="W170" s="43"/>
      <c r="X170" s="194"/>
      <c r="Y170" s="161"/>
      <c r="Z170" s="195"/>
      <c r="AA170" s="6"/>
      <c r="AB170" s="27">
        <f>Y170*Z170</f>
        <v>0</v>
      </c>
      <c r="AC170" s="4"/>
      <c r="AD170" s="27">
        <f>AB170/30</f>
        <v>0</v>
      </c>
      <c r="AE170" s="15">
        <f>SUM(AE171:AE175)</f>
        <v>1000</v>
      </c>
      <c r="AF170" s="4"/>
      <c r="AG170" s="4"/>
      <c r="AH170" s="4"/>
      <c r="AI170" s="4"/>
      <c r="AJ170" s="43"/>
      <c r="AK170" s="4"/>
      <c r="AL170" s="43"/>
      <c r="AM170" s="43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6"/>
      <c r="HP170" s="5"/>
      <c r="HQ170" s="4"/>
      <c r="HR170" s="4"/>
      <c r="HS170" s="5"/>
      <c r="HT170" s="5"/>
      <c r="HU170" s="4"/>
      <c r="HV170" s="6"/>
      <c r="HW170" s="10"/>
      <c r="HX170" s="28"/>
      <c r="HY170" s="6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13"/>
      <c r="IN170" s="4"/>
      <c r="IO170" s="4"/>
      <c r="IP170" s="13"/>
      <c r="IQ170" s="4"/>
      <c r="IR170" s="4"/>
      <c r="IS170" s="4"/>
      <c r="IT170" s="4"/>
      <c r="IU170" s="4"/>
      <c r="IV170" s="4"/>
    </row>
    <row r="171" spans="2:256" ht="12.75">
      <c r="B171" s="204"/>
      <c r="C171" s="245"/>
      <c r="D171" s="165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266"/>
      <c r="P171" s="207"/>
      <c r="Q171" s="208"/>
      <c r="R171" s="209"/>
      <c r="S171" s="59"/>
      <c r="T171" s="43"/>
      <c r="U171" s="43"/>
      <c r="V171" s="196"/>
      <c r="W171" s="43"/>
      <c r="X171" s="197"/>
      <c r="Y171" s="161"/>
      <c r="Z171" s="195"/>
      <c r="AA171" s="6"/>
      <c r="AB171" s="27">
        <f>Y171*Z171</f>
        <v>0</v>
      </c>
      <c r="AC171" s="4"/>
      <c r="AD171" s="27">
        <f>AB171/30</f>
        <v>0</v>
      </c>
      <c r="AE171" s="14">
        <f>Y93</f>
        <v>1000</v>
      </c>
      <c r="AF171" s="4"/>
      <c r="AG171" s="4"/>
      <c r="AH171" s="4"/>
      <c r="AI171" s="4"/>
      <c r="AJ171" s="43"/>
      <c r="AK171" s="4"/>
      <c r="AL171" s="43"/>
      <c r="AM171" s="43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6"/>
      <c r="HP171" s="5" t="s">
        <v>820</v>
      </c>
      <c r="HQ171" s="4"/>
      <c r="HR171" s="97">
        <f>SUM(HP129:HP151)</f>
        <v>8</v>
      </c>
      <c r="HS171" s="97">
        <f>SUM(HS129:HS151)</f>
        <v>86.13000000000001</v>
      </c>
      <c r="HT171" s="97">
        <f>SUM(HT129:HT151)</f>
        <v>314</v>
      </c>
      <c r="HU171" s="97">
        <f>SUM(HU129:HU151)</f>
        <v>324</v>
      </c>
      <c r="HV171" s="6" t="s">
        <v>28</v>
      </c>
      <c r="HW171" s="97">
        <f>(HW153+HW154+HW155+HW156+HW157)</f>
        <v>4538.268</v>
      </c>
      <c r="HX171" s="110">
        <f>(HX153+HX154+HX155+HX156+HX157)</f>
        <v>22691.34</v>
      </c>
      <c r="HY171" s="6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13"/>
      <c r="IN171" s="4"/>
      <c r="IO171" s="4"/>
      <c r="IP171" s="13"/>
      <c r="IQ171" s="4"/>
      <c r="IR171" s="4"/>
      <c r="IS171" s="4"/>
      <c r="IT171" s="4"/>
      <c r="IU171" s="4"/>
      <c r="IV171" s="4"/>
    </row>
    <row r="172" spans="2:256" ht="13.5" thickBot="1">
      <c r="B172" s="233"/>
      <c r="C172" s="247"/>
      <c r="D172" s="240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9"/>
      <c r="P172" s="218"/>
      <c r="Q172" s="219"/>
      <c r="R172" s="220"/>
      <c r="S172" s="67"/>
      <c r="T172" s="50"/>
      <c r="U172" s="50"/>
      <c r="V172" s="50"/>
      <c r="W172" s="50"/>
      <c r="X172" s="50"/>
      <c r="Y172" s="50"/>
      <c r="Z172" s="51"/>
      <c r="AA172" s="4"/>
      <c r="AB172" s="4"/>
      <c r="AC172" s="4"/>
      <c r="AD172" s="4"/>
      <c r="AE172" s="4"/>
      <c r="AF172" s="4"/>
      <c r="AG172" s="4"/>
      <c r="AH172" s="4"/>
      <c r="AI172" s="4"/>
      <c r="AJ172" s="43"/>
      <c r="AK172" s="4"/>
      <c r="AL172" s="43"/>
      <c r="AM172" s="43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29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3:256" ht="12.75"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3"/>
      <c r="AK173" s="4"/>
      <c r="AL173" s="43"/>
      <c r="AM173" s="43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3:256" ht="12.75"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3"/>
      <c r="AK174" s="4"/>
      <c r="AL174" s="43"/>
      <c r="AM174" s="43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3:256" ht="12.75"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3"/>
      <c r="AK175" s="4"/>
      <c r="AL175" s="43"/>
      <c r="AM175" s="43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3:256" ht="12.75"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3"/>
      <c r="AK176" s="4"/>
      <c r="AL176" s="43"/>
      <c r="AM176" s="43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3:256" ht="12.75"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3"/>
      <c r="AK177" s="4"/>
      <c r="AL177" s="43"/>
      <c r="AM177" s="43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3:256" ht="12.75"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3"/>
      <c r="AK178" s="4"/>
      <c r="AL178" s="43"/>
      <c r="AM178" s="43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3:256" ht="12.75"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3"/>
      <c r="AK179" s="4"/>
      <c r="AL179" s="43"/>
      <c r="AM179" s="43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3:256" ht="12.75"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3"/>
      <c r="AK180" s="4"/>
      <c r="AL180" s="43"/>
      <c r="AM180" s="43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3:256" ht="12.75"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3"/>
      <c r="AK181" s="4"/>
      <c r="AL181" s="43"/>
      <c r="AM181" s="43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3:256" ht="12.75"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3"/>
      <c r="AK182" s="4"/>
      <c r="AL182" s="43"/>
      <c r="AM182" s="43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3:256" ht="12.75"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3"/>
      <c r="AK183" s="4"/>
      <c r="AL183" s="43"/>
      <c r="AM183" s="43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3:256" ht="12.75"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3"/>
      <c r="AK184" s="4"/>
      <c r="AL184" s="43"/>
      <c r="AM184" s="43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3:256" ht="12.75"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3"/>
      <c r="AK185" s="4"/>
      <c r="AL185" s="43"/>
      <c r="AM185" s="43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3:256" ht="12.75"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3"/>
      <c r="AK186" s="4"/>
      <c r="AL186" s="43"/>
      <c r="AM186" s="43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3:256" ht="12.75"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3"/>
      <c r="AK187" s="4"/>
      <c r="AL187" s="43"/>
      <c r="AM187" s="43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3:256" ht="12.75"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3"/>
      <c r="AK188" s="4"/>
      <c r="AL188" s="43"/>
      <c r="AM188" s="43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3:256" ht="12.75"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3"/>
      <c r="AK189" s="4"/>
      <c r="AL189" s="43"/>
      <c r="AM189" s="43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3:256" ht="12.75"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3"/>
      <c r="AK190" s="4"/>
      <c r="AL190" s="43"/>
      <c r="AM190" s="43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3:256" ht="12.75"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3"/>
      <c r="AK191" s="4"/>
      <c r="AL191" s="43"/>
      <c r="AM191" s="43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36:39" ht="12">
      <c r="AJ192" s="74"/>
      <c r="AL192" s="74"/>
      <c r="AM192" s="74"/>
    </row>
    <row r="193" spans="36:39" ht="12">
      <c r="AJ193" s="74"/>
      <c r="AL193" s="74"/>
      <c r="AM193" s="74"/>
    </row>
    <row r="194" spans="36:39" ht="12">
      <c r="AJ194" s="74"/>
      <c r="AL194" s="74"/>
      <c r="AM194" s="74"/>
    </row>
    <row r="195" spans="36:39" ht="12">
      <c r="AJ195" s="74"/>
      <c r="AL195" s="74"/>
      <c r="AM195" s="74"/>
    </row>
    <row r="196" spans="36:39" ht="12">
      <c r="AJ196" s="74"/>
      <c r="AL196" s="74"/>
      <c r="AM196" s="74"/>
    </row>
    <row r="197" spans="36:39" ht="12">
      <c r="AJ197" s="74"/>
      <c r="AL197" s="74"/>
      <c r="AM197" s="74"/>
    </row>
    <row r="198" spans="36:39" ht="12">
      <c r="AJ198" s="74"/>
      <c r="AL198" s="74"/>
      <c r="AM198" s="74"/>
    </row>
    <row r="199" spans="36:39" ht="12">
      <c r="AJ199" s="74"/>
      <c r="AL199" s="74"/>
      <c r="AM199" s="74"/>
    </row>
    <row r="200" spans="36:39" ht="12">
      <c r="AJ200" s="74"/>
      <c r="AL200" s="74"/>
      <c r="AM200" s="74"/>
    </row>
    <row r="201" spans="36:39" ht="12">
      <c r="AJ201" s="74"/>
      <c r="AL201" s="74"/>
      <c r="AM201" s="74"/>
    </row>
    <row r="202" spans="36:39" ht="12">
      <c r="AJ202" s="74"/>
      <c r="AL202" s="74"/>
      <c r="AM202" s="74"/>
    </row>
    <row r="203" spans="36:39" ht="12">
      <c r="AJ203" s="74"/>
      <c r="AL203" s="74"/>
      <c r="AM203" s="74"/>
    </row>
    <row r="204" spans="36:39" ht="12">
      <c r="AJ204" s="74"/>
      <c r="AL204" s="74"/>
      <c r="AM204" s="74"/>
    </row>
    <row r="205" spans="36:39" ht="12">
      <c r="AJ205" s="74"/>
      <c r="AL205" s="74"/>
      <c r="AM205" s="74"/>
    </row>
    <row r="206" spans="36:39" ht="12">
      <c r="AJ206" s="74"/>
      <c r="AL206" s="74"/>
      <c r="AM206" s="74"/>
    </row>
    <row r="207" spans="36:39" ht="12">
      <c r="AJ207" s="74"/>
      <c r="AL207" s="74"/>
      <c r="AM207" s="74"/>
    </row>
    <row r="208" spans="36:39" ht="12">
      <c r="AJ208" s="74"/>
      <c r="AL208" s="74"/>
      <c r="AM208" s="74"/>
    </row>
    <row r="209" spans="36:39" ht="12">
      <c r="AJ209" s="74"/>
      <c r="AL209" s="74"/>
      <c r="AM209" s="74"/>
    </row>
    <row r="210" spans="36:39" ht="12">
      <c r="AJ210" s="74"/>
      <c r="AL210" s="74"/>
      <c r="AM210" s="74"/>
    </row>
    <row r="211" spans="36:39" ht="12">
      <c r="AJ211" s="74"/>
      <c r="AL211" s="74"/>
      <c r="AM211" s="74"/>
    </row>
    <row r="212" spans="36:39" ht="12">
      <c r="AJ212" s="74"/>
      <c r="AL212" s="74"/>
      <c r="AM212" s="74"/>
    </row>
    <row r="213" spans="36:39" ht="12">
      <c r="AJ213" s="74"/>
      <c r="AL213" s="74"/>
      <c r="AM213" s="74"/>
    </row>
    <row r="214" spans="36:39" ht="12">
      <c r="AJ214" s="74"/>
      <c r="AL214" s="74"/>
      <c r="AM214" s="74"/>
    </row>
    <row r="215" spans="36:39" ht="12">
      <c r="AJ215" s="74"/>
      <c r="AL215" s="74"/>
      <c r="AM215" s="74"/>
    </row>
    <row r="216" spans="36:39" ht="12">
      <c r="AJ216" s="74"/>
      <c r="AL216" s="74"/>
      <c r="AM216" s="74"/>
    </row>
    <row r="217" spans="36:39" ht="12">
      <c r="AJ217" s="74"/>
      <c r="AL217" s="74"/>
      <c r="AM217" s="74"/>
    </row>
    <row r="218" spans="36:39" ht="12">
      <c r="AJ218" s="74"/>
      <c r="AL218" s="74"/>
      <c r="AM218" s="74"/>
    </row>
    <row r="219" spans="36:39" ht="12">
      <c r="AJ219" s="74"/>
      <c r="AL219" s="74"/>
      <c r="AM219" s="74"/>
    </row>
    <row r="220" spans="36:39" ht="12">
      <c r="AJ220" s="74"/>
      <c r="AL220" s="74"/>
      <c r="AM220" s="74"/>
    </row>
    <row r="221" spans="36:39" ht="12">
      <c r="AJ221" s="74"/>
      <c r="AL221" s="74"/>
      <c r="AM221" s="74"/>
    </row>
    <row r="222" spans="36:39" ht="12">
      <c r="AJ222" s="74"/>
      <c r="AL222" s="74"/>
      <c r="AM222" s="74"/>
    </row>
    <row r="223" spans="36:39" ht="12">
      <c r="AJ223" s="74"/>
      <c r="AL223" s="74"/>
      <c r="AM223" s="74"/>
    </row>
    <row r="224" spans="36:39" ht="12">
      <c r="AJ224" s="74"/>
      <c r="AL224" s="74"/>
      <c r="AM224" s="74"/>
    </row>
    <row r="225" spans="36:39" ht="12">
      <c r="AJ225" s="74"/>
      <c r="AL225" s="74"/>
      <c r="AM225" s="74"/>
    </row>
    <row r="226" spans="36:39" ht="12">
      <c r="AJ226" s="74"/>
      <c r="AL226" s="74"/>
      <c r="AM226" s="74"/>
    </row>
    <row r="227" spans="36:39" ht="12">
      <c r="AJ227" s="74"/>
      <c r="AL227" s="74"/>
      <c r="AM227" s="74"/>
    </row>
    <row r="228" spans="36:39" ht="12">
      <c r="AJ228" s="74"/>
      <c r="AL228" s="74"/>
      <c r="AM228" s="74"/>
    </row>
    <row r="229" spans="36:39" ht="12">
      <c r="AJ229" s="74"/>
      <c r="AL229" s="74"/>
      <c r="AM229" s="74"/>
    </row>
    <row r="230" spans="36:39" ht="12">
      <c r="AJ230" s="74"/>
      <c r="AL230" s="74"/>
      <c r="AM230" s="74"/>
    </row>
    <row r="231" spans="36:39" ht="12">
      <c r="AJ231" s="74"/>
      <c r="AL231" s="74"/>
      <c r="AM231" s="74"/>
    </row>
    <row r="232" spans="36:39" ht="12">
      <c r="AJ232" s="74"/>
      <c r="AL232" s="74"/>
      <c r="AM232" s="74"/>
    </row>
    <row r="233" spans="36:39" ht="12">
      <c r="AJ233" s="74"/>
      <c r="AL233" s="74"/>
      <c r="AM233" s="74"/>
    </row>
    <row r="234" spans="36:39" ht="12">
      <c r="AJ234" s="74"/>
      <c r="AL234" s="74"/>
      <c r="AM234" s="74"/>
    </row>
    <row r="235" spans="36:39" ht="12">
      <c r="AJ235" s="74"/>
      <c r="AL235" s="74"/>
      <c r="AM235" s="74"/>
    </row>
    <row r="236" spans="36:39" ht="12">
      <c r="AJ236" s="74"/>
      <c r="AL236" s="74"/>
      <c r="AM236" s="74"/>
    </row>
    <row r="237" spans="36:39" ht="12">
      <c r="AJ237" s="74"/>
      <c r="AL237" s="74"/>
      <c r="AM237" s="74"/>
    </row>
    <row r="238" spans="36:39" ht="12">
      <c r="AJ238" s="74"/>
      <c r="AL238" s="74"/>
      <c r="AM238" s="74"/>
    </row>
    <row r="239" spans="36:39" ht="12">
      <c r="AJ239" s="74"/>
      <c r="AL239" s="74"/>
      <c r="AM239" s="74"/>
    </row>
    <row r="240" spans="36:39" ht="12">
      <c r="AJ240" s="74"/>
      <c r="AL240" s="74"/>
      <c r="AM240" s="74"/>
    </row>
    <row r="241" spans="36:39" ht="12">
      <c r="AJ241" s="74"/>
      <c r="AL241" s="74"/>
      <c r="AM241" s="74"/>
    </row>
    <row r="242" spans="36:39" ht="12">
      <c r="AJ242" s="74"/>
      <c r="AL242" s="74"/>
      <c r="AM242" s="74"/>
    </row>
    <row r="243" spans="36:39" ht="12">
      <c r="AJ243" s="74"/>
      <c r="AL243" s="74"/>
      <c r="AM243" s="74"/>
    </row>
    <row r="244" spans="36:39" ht="12">
      <c r="AJ244" s="74"/>
      <c r="AL244" s="74"/>
      <c r="AM244" s="74"/>
    </row>
    <row r="245" spans="36:39" ht="12">
      <c r="AJ245" s="74"/>
      <c r="AL245" s="74"/>
      <c r="AM245" s="74"/>
    </row>
    <row r="246" spans="36:39" ht="12">
      <c r="AJ246" s="74"/>
      <c r="AL246" s="74"/>
      <c r="AM246" s="74"/>
    </row>
    <row r="247" spans="36:39" ht="12">
      <c r="AJ247" s="74"/>
      <c r="AL247" s="74"/>
      <c r="AM247" s="74"/>
    </row>
    <row r="248" spans="36:39" ht="12">
      <c r="AJ248" s="74"/>
      <c r="AL248" s="74"/>
      <c r="AM248" s="74"/>
    </row>
    <row r="249" spans="36:39" ht="12">
      <c r="AJ249" s="74"/>
      <c r="AL249" s="74"/>
      <c r="AM249" s="74"/>
    </row>
    <row r="250" spans="36:39" ht="12">
      <c r="AJ250" s="74"/>
      <c r="AL250" s="74"/>
      <c r="AM250" s="74"/>
    </row>
    <row r="251" spans="36:39" ht="12">
      <c r="AJ251" s="74"/>
      <c r="AL251" s="74"/>
      <c r="AM251" s="74"/>
    </row>
    <row r="252" spans="36:39" ht="12">
      <c r="AJ252" s="74"/>
      <c r="AL252" s="74"/>
      <c r="AM252" s="74"/>
    </row>
    <row r="253" spans="36:39" ht="12">
      <c r="AJ253" s="74"/>
      <c r="AL253" s="74"/>
      <c r="AM253" s="74"/>
    </row>
    <row r="254" spans="36:39" ht="12">
      <c r="AJ254" s="74"/>
      <c r="AL254" s="74"/>
      <c r="AM254" s="74"/>
    </row>
    <row r="255" spans="36:39" ht="12">
      <c r="AJ255" s="74"/>
      <c r="AL255" s="74"/>
      <c r="AM255" s="74"/>
    </row>
    <row r="256" spans="36:39" ht="12">
      <c r="AJ256" s="74"/>
      <c r="AL256" s="74"/>
      <c r="AM256" s="74"/>
    </row>
    <row r="257" spans="36:39" ht="12">
      <c r="AJ257" s="74"/>
      <c r="AL257" s="74"/>
      <c r="AM257" s="74"/>
    </row>
    <row r="258" spans="36:39" ht="12">
      <c r="AJ258" s="74"/>
      <c r="AL258" s="74"/>
      <c r="AM258" s="74"/>
    </row>
    <row r="259" spans="36:39" ht="12">
      <c r="AJ259" s="74"/>
      <c r="AL259" s="74"/>
      <c r="AM259" s="74"/>
    </row>
    <row r="260" spans="36:39" ht="12">
      <c r="AJ260" s="74"/>
      <c r="AL260" s="74"/>
      <c r="AM260" s="74"/>
    </row>
    <row r="261" spans="36:39" ht="12">
      <c r="AJ261" s="74"/>
      <c r="AL261" s="74"/>
      <c r="AM261" s="74"/>
    </row>
    <row r="262" spans="36:39" ht="12">
      <c r="AJ262" s="74"/>
      <c r="AL262" s="74"/>
      <c r="AM262" s="74"/>
    </row>
    <row r="263" spans="36:39" ht="12">
      <c r="AJ263" s="74"/>
      <c r="AL263" s="74"/>
      <c r="AM263" s="74"/>
    </row>
    <row r="264" spans="36:39" ht="12">
      <c r="AJ264" s="74"/>
      <c r="AL264" s="74"/>
      <c r="AM264" s="74"/>
    </row>
    <row r="265" spans="36:39" ht="12">
      <c r="AJ265" s="74"/>
      <c r="AL265" s="74"/>
      <c r="AM265" s="74"/>
    </row>
    <row r="266" spans="36:39" ht="12">
      <c r="AJ266" s="74"/>
      <c r="AL266" s="74"/>
      <c r="AM266" s="74"/>
    </row>
    <row r="267" spans="36:39" ht="12">
      <c r="AJ267" s="74"/>
      <c r="AL267" s="74"/>
      <c r="AM267" s="74"/>
    </row>
    <row r="268" spans="36:39" ht="12">
      <c r="AJ268" s="74"/>
      <c r="AL268" s="74"/>
      <c r="AM268" s="74"/>
    </row>
    <row r="269" spans="36:39" ht="12">
      <c r="AJ269" s="74"/>
      <c r="AL269" s="74"/>
      <c r="AM269" s="74"/>
    </row>
    <row r="270" spans="36:39" ht="12">
      <c r="AJ270" s="74"/>
      <c r="AL270" s="74"/>
      <c r="AM270" s="74"/>
    </row>
    <row r="271" spans="36:39" ht="12">
      <c r="AJ271" s="74"/>
      <c r="AL271" s="74"/>
      <c r="AM271" s="74"/>
    </row>
    <row r="272" spans="36:39" ht="12">
      <c r="AJ272" s="74"/>
      <c r="AL272" s="74"/>
      <c r="AM272" s="74"/>
    </row>
    <row r="273" spans="36:39" ht="12">
      <c r="AJ273" s="74"/>
      <c r="AL273" s="74"/>
      <c r="AM273" s="74"/>
    </row>
    <row r="274" spans="36:39" ht="12">
      <c r="AJ274" s="74"/>
      <c r="AL274" s="74"/>
      <c r="AM274" s="74"/>
    </row>
    <row r="275" spans="36:39" ht="12">
      <c r="AJ275" s="74"/>
      <c r="AL275" s="74"/>
      <c r="AM275" s="74"/>
    </row>
    <row r="276" spans="36:39" ht="12">
      <c r="AJ276" s="74"/>
      <c r="AL276" s="74"/>
      <c r="AM276" s="74"/>
    </row>
    <row r="277" spans="36:39" ht="12">
      <c r="AJ277" s="74"/>
      <c r="AL277" s="74"/>
      <c r="AM277" s="74"/>
    </row>
    <row r="278" spans="36:39" ht="12">
      <c r="AJ278" s="74"/>
      <c r="AL278" s="74"/>
      <c r="AM278" s="74"/>
    </row>
    <row r="279" spans="36:39" ht="12">
      <c r="AJ279" s="74"/>
      <c r="AL279" s="74"/>
      <c r="AM279" s="74"/>
    </row>
    <row r="280" spans="36:39" ht="12">
      <c r="AJ280" s="74"/>
      <c r="AL280" s="74"/>
      <c r="AM280" s="74"/>
    </row>
    <row r="281" spans="36:39" ht="12">
      <c r="AJ281" s="74"/>
      <c r="AL281" s="74"/>
      <c r="AM281" s="74"/>
    </row>
    <row r="282" spans="36:39" ht="12">
      <c r="AJ282" s="74"/>
      <c r="AL282" s="74"/>
      <c r="AM282" s="74"/>
    </row>
    <row r="283" spans="36:39" ht="12">
      <c r="AJ283" s="74"/>
      <c r="AL283" s="74"/>
      <c r="AM283" s="74"/>
    </row>
    <row r="284" spans="36:39" ht="12">
      <c r="AJ284" s="74"/>
      <c r="AL284" s="74"/>
      <c r="AM284" s="74"/>
    </row>
    <row r="285" spans="36:39" ht="12">
      <c r="AJ285" s="74"/>
      <c r="AL285" s="74"/>
      <c r="AM285" s="74"/>
    </row>
    <row r="286" spans="36:39" ht="12">
      <c r="AJ286" s="74"/>
      <c r="AL286" s="74"/>
      <c r="AM286" s="74"/>
    </row>
    <row r="287" spans="36:39" ht="12">
      <c r="AJ287" s="74"/>
      <c r="AL287" s="74"/>
      <c r="AM287" s="74"/>
    </row>
    <row r="288" spans="36:39" ht="12">
      <c r="AJ288" s="74"/>
      <c r="AL288" s="74"/>
      <c r="AM288" s="74"/>
    </row>
    <row r="289" spans="36:39" ht="12">
      <c r="AJ289" s="74"/>
      <c r="AL289" s="74"/>
      <c r="AM289" s="74"/>
    </row>
    <row r="290" spans="36:39" ht="12">
      <c r="AJ290" s="74"/>
      <c r="AL290" s="74"/>
      <c r="AM290" s="74"/>
    </row>
    <row r="291" spans="36:39" ht="12">
      <c r="AJ291" s="74"/>
      <c r="AL291" s="74"/>
      <c r="AM291" s="74"/>
    </row>
    <row r="292" spans="36:39" ht="12">
      <c r="AJ292" s="74"/>
      <c r="AL292" s="74"/>
      <c r="AM292" s="74"/>
    </row>
    <row r="293" spans="36:39" ht="12">
      <c r="AJ293" s="74"/>
      <c r="AL293" s="74"/>
      <c r="AM293" s="74"/>
    </row>
    <row r="294" spans="36:39" ht="12">
      <c r="AJ294" s="74"/>
      <c r="AL294" s="74"/>
      <c r="AM294" s="74"/>
    </row>
    <row r="295" spans="36:39" ht="12">
      <c r="AJ295" s="74"/>
      <c r="AL295" s="74"/>
      <c r="AM295" s="74"/>
    </row>
    <row r="296" spans="36:39" ht="12">
      <c r="AJ296" s="74"/>
      <c r="AL296" s="74"/>
      <c r="AM296" s="74"/>
    </row>
    <row r="297" spans="36:39" ht="12">
      <c r="AJ297" s="74"/>
      <c r="AL297" s="74"/>
      <c r="AM297" s="74"/>
    </row>
    <row r="298" spans="36:39" ht="12">
      <c r="AJ298" s="74"/>
      <c r="AL298" s="74"/>
      <c r="AM298" s="74"/>
    </row>
    <row r="299" spans="36:39" ht="12">
      <c r="AJ299" s="74"/>
      <c r="AL299" s="74"/>
      <c r="AM299" s="74"/>
    </row>
    <row r="300" spans="36:39" ht="12">
      <c r="AJ300" s="74"/>
      <c r="AL300" s="74"/>
      <c r="AM300" s="74"/>
    </row>
    <row r="301" spans="36:39" ht="12">
      <c r="AJ301" s="74"/>
      <c r="AL301" s="74"/>
      <c r="AM301" s="74"/>
    </row>
    <row r="302" spans="36:39" ht="12">
      <c r="AJ302" s="74"/>
      <c r="AL302" s="74"/>
      <c r="AM302" s="74"/>
    </row>
    <row r="303" spans="36:39" ht="12">
      <c r="AJ303" s="74"/>
      <c r="AL303" s="74"/>
      <c r="AM303" s="74"/>
    </row>
    <row r="304" spans="36:39" ht="12">
      <c r="AJ304" s="74"/>
      <c r="AL304" s="74"/>
      <c r="AM304" s="74"/>
    </row>
    <row r="305" spans="36:39" ht="12">
      <c r="AJ305" s="74"/>
      <c r="AL305" s="74"/>
      <c r="AM305" s="74"/>
    </row>
    <row r="306" spans="36:39" ht="12">
      <c r="AJ306" s="74"/>
      <c r="AL306" s="74"/>
      <c r="AM306" s="74"/>
    </row>
    <row r="307" spans="36:39" ht="12">
      <c r="AJ307" s="74"/>
      <c r="AL307" s="74"/>
      <c r="AM307" s="74"/>
    </row>
    <row r="308" spans="36:39" ht="12">
      <c r="AJ308" s="74"/>
      <c r="AL308" s="74"/>
      <c r="AM308" s="74"/>
    </row>
    <row r="309" spans="36:39" ht="12">
      <c r="AJ309" s="74"/>
      <c r="AL309" s="74"/>
      <c r="AM309" s="74"/>
    </row>
    <row r="310" spans="36:39" ht="12">
      <c r="AJ310" s="74"/>
      <c r="AL310" s="74"/>
      <c r="AM310" s="74"/>
    </row>
    <row r="311" spans="36:39" ht="12">
      <c r="AJ311" s="74"/>
      <c r="AL311" s="74"/>
      <c r="AM311" s="74"/>
    </row>
    <row r="312" spans="36:39" ht="12">
      <c r="AJ312" s="74"/>
      <c r="AL312" s="74"/>
      <c r="AM312" s="74"/>
    </row>
    <row r="313" spans="36:39" ht="12">
      <c r="AJ313" s="74"/>
      <c r="AL313" s="74"/>
      <c r="AM313" s="74"/>
    </row>
    <row r="314" spans="36:39" ht="12">
      <c r="AJ314" s="74"/>
      <c r="AL314" s="74"/>
      <c r="AM314" s="74"/>
    </row>
    <row r="315" spans="36:39" ht="12">
      <c r="AJ315" s="74"/>
      <c r="AL315" s="74"/>
      <c r="AM315" s="74"/>
    </row>
    <row r="316" spans="36:39" ht="12">
      <c r="AJ316" s="74"/>
      <c r="AL316" s="74"/>
      <c r="AM316" s="74"/>
    </row>
    <row r="317" spans="36:39" ht="12">
      <c r="AJ317" s="74"/>
      <c r="AL317" s="74"/>
      <c r="AM317" s="74"/>
    </row>
    <row r="318" spans="36:39" ht="12">
      <c r="AJ318" s="74"/>
      <c r="AL318" s="74"/>
      <c r="AM318" s="74"/>
    </row>
    <row r="319" spans="36:39" ht="12">
      <c r="AJ319" s="74"/>
      <c r="AL319" s="74"/>
      <c r="AM319" s="74"/>
    </row>
    <row r="320" spans="36:39" ht="12">
      <c r="AJ320" s="74"/>
      <c r="AL320" s="74"/>
      <c r="AM320" s="74"/>
    </row>
    <row r="321" spans="36:39" ht="12">
      <c r="AJ321" s="74"/>
      <c r="AL321" s="74"/>
      <c r="AM321" s="74"/>
    </row>
    <row r="322" spans="36:39" ht="12">
      <c r="AJ322" s="74"/>
      <c r="AL322" s="74"/>
      <c r="AM322" s="74"/>
    </row>
    <row r="323" spans="36:39" ht="12">
      <c r="AJ323" s="74"/>
      <c r="AL323" s="74"/>
      <c r="AM323" s="74"/>
    </row>
    <row r="324" spans="36:39" ht="12">
      <c r="AJ324" s="74"/>
      <c r="AL324" s="74"/>
      <c r="AM324" s="74"/>
    </row>
    <row r="325" spans="36:39" ht="12">
      <c r="AJ325" s="74"/>
      <c r="AL325" s="74"/>
      <c r="AM325" s="74"/>
    </row>
    <row r="326" spans="36:39" ht="12">
      <c r="AJ326" s="74"/>
      <c r="AL326" s="74"/>
      <c r="AM326" s="74"/>
    </row>
    <row r="327" spans="36:39" ht="12">
      <c r="AJ327" s="74"/>
      <c r="AL327" s="74"/>
      <c r="AM327" s="74"/>
    </row>
    <row r="328" spans="36:39" ht="12">
      <c r="AJ328" s="74"/>
      <c r="AL328" s="74"/>
      <c r="AM328" s="74"/>
    </row>
    <row r="329" spans="36:39" ht="12">
      <c r="AJ329" s="74"/>
      <c r="AL329" s="74"/>
      <c r="AM329" s="74"/>
    </row>
    <row r="330" ht="12">
      <c r="AJ330" s="74"/>
    </row>
    <row r="331" ht="12">
      <c r="AJ331" s="74"/>
    </row>
    <row r="332" ht="12">
      <c r="AJ332" s="74"/>
    </row>
    <row r="333" ht="12">
      <c r="AJ333" s="74"/>
    </row>
    <row r="334" ht="12">
      <c r="AJ334" s="74"/>
    </row>
    <row r="335" ht="12">
      <c r="AJ335" s="74"/>
    </row>
    <row r="336" ht="12">
      <c r="AJ336" s="74"/>
    </row>
    <row r="337" ht="12">
      <c r="AJ337" s="74"/>
    </row>
    <row r="338" ht="12">
      <c r="AJ338" s="74"/>
    </row>
    <row r="339" ht="12">
      <c r="AJ339" s="74"/>
    </row>
    <row r="340" ht="12">
      <c r="AJ340" s="74"/>
    </row>
    <row r="341" ht="12">
      <c r="AJ341" s="74"/>
    </row>
    <row r="342" ht="12">
      <c r="AJ342" s="74"/>
    </row>
    <row r="343" ht="12">
      <c r="AJ343" s="74"/>
    </row>
    <row r="344" ht="12">
      <c r="AJ344" s="74"/>
    </row>
    <row r="345" ht="12">
      <c r="AJ345" s="74"/>
    </row>
    <row r="346" ht="12">
      <c r="AJ346" s="74"/>
    </row>
    <row r="347" ht="12">
      <c r="AJ347" s="74"/>
    </row>
    <row r="348" ht="12">
      <c r="AJ348" s="74"/>
    </row>
    <row r="349" ht="12">
      <c r="AJ349" s="74"/>
    </row>
    <row r="350" ht="12">
      <c r="AJ350" s="74"/>
    </row>
    <row r="351" ht="12">
      <c r="AJ351" s="74"/>
    </row>
    <row r="352" ht="12">
      <c r="AJ352" s="74"/>
    </row>
    <row r="353" ht="12">
      <c r="AJ353" s="74"/>
    </row>
    <row r="354" ht="12">
      <c r="AJ354" s="74"/>
    </row>
    <row r="355" ht="12">
      <c r="AJ355" s="74"/>
    </row>
    <row r="356" ht="12">
      <c r="AJ356" s="74"/>
    </row>
    <row r="357" ht="12">
      <c r="AJ357" s="74"/>
    </row>
    <row r="358" ht="12">
      <c r="AJ358" s="74"/>
    </row>
    <row r="359" ht="12">
      <c r="AJ359" s="74"/>
    </row>
    <row r="360" ht="12">
      <c r="AJ360" s="74"/>
    </row>
    <row r="361" ht="12">
      <c r="AJ361" s="74"/>
    </row>
    <row r="362" ht="12">
      <c r="AJ362" s="74"/>
    </row>
    <row r="363" ht="12">
      <c r="AJ363" s="74"/>
    </row>
    <row r="364" ht="12">
      <c r="AJ364" s="74"/>
    </row>
    <row r="365" ht="12">
      <c r="AJ365" s="74"/>
    </row>
    <row r="366" ht="12">
      <c r="AJ366" s="74"/>
    </row>
    <row r="367" ht="12">
      <c r="AJ367" s="74"/>
    </row>
    <row r="368" ht="12">
      <c r="AJ368" s="74"/>
    </row>
    <row r="369" ht="12">
      <c r="AJ369" s="74"/>
    </row>
    <row r="370" ht="12">
      <c r="AJ370" s="74"/>
    </row>
    <row r="371" ht="12">
      <c r="AJ371" s="74"/>
    </row>
    <row r="372" ht="12">
      <c r="AJ372" s="74"/>
    </row>
    <row r="373" ht="12">
      <c r="AJ373" s="74"/>
    </row>
    <row r="374" ht="12">
      <c r="AJ374" s="74"/>
    </row>
    <row r="375" ht="12">
      <c r="AJ375" s="74"/>
    </row>
    <row r="376" ht="12">
      <c r="AJ376" s="74"/>
    </row>
    <row r="377" ht="12">
      <c r="AJ377" s="74"/>
    </row>
    <row r="378" ht="12">
      <c r="AJ378" s="74"/>
    </row>
    <row r="379" ht="12">
      <c r="AJ379" s="74"/>
    </row>
    <row r="380" ht="12">
      <c r="AJ380" s="74"/>
    </row>
    <row r="381" ht="12">
      <c r="AJ381" s="74"/>
    </row>
    <row r="382" ht="12">
      <c r="AJ382" s="74"/>
    </row>
    <row r="383" ht="12">
      <c r="AJ383" s="74"/>
    </row>
    <row r="384" ht="12">
      <c r="AJ384" s="74"/>
    </row>
    <row r="385" ht="12">
      <c r="AJ385" s="74"/>
    </row>
    <row r="386" ht="12">
      <c r="AJ386" s="74"/>
    </row>
    <row r="387" ht="12">
      <c r="AJ387" s="74"/>
    </row>
    <row r="388" ht="12">
      <c r="AJ388" s="74"/>
    </row>
    <row r="389" ht="12">
      <c r="AJ389" s="74"/>
    </row>
    <row r="390" ht="12">
      <c r="AJ390" s="74"/>
    </row>
    <row r="391" ht="12">
      <c r="AJ391" s="74"/>
    </row>
    <row r="392" ht="12">
      <c r="AJ392" s="74"/>
    </row>
    <row r="393" ht="12">
      <c r="AJ393" s="74"/>
    </row>
    <row r="394" ht="12">
      <c r="AJ394" s="74"/>
    </row>
    <row r="395" ht="12">
      <c r="AJ395" s="74"/>
    </row>
    <row r="396" ht="12">
      <c r="AJ396" s="74"/>
    </row>
    <row r="397" ht="12">
      <c r="AJ397" s="74"/>
    </row>
    <row r="398" ht="12">
      <c r="AJ398" s="74"/>
    </row>
    <row r="399" ht="12">
      <c r="AJ399" s="74"/>
    </row>
    <row r="400" ht="12">
      <c r="AJ400" s="74"/>
    </row>
    <row r="401" ht="12">
      <c r="AJ401" s="74"/>
    </row>
    <row r="402" ht="12">
      <c r="AJ402" s="74"/>
    </row>
    <row r="403" ht="12">
      <c r="AJ403" s="74"/>
    </row>
    <row r="404" ht="12">
      <c r="AJ404" s="74"/>
    </row>
    <row r="405" ht="12">
      <c r="AJ405" s="74"/>
    </row>
    <row r="406" ht="12">
      <c r="AJ406" s="74"/>
    </row>
    <row r="407" ht="12">
      <c r="AJ407" s="74"/>
    </row>
    <row r="408" ht="12">
      <c r="AJ408" s="74"/>
    </row>
    <row r="409" ht="12">
      <c r="AJ409" s="74"/>
    </row>
    <row r="410" ht="12">
      <c r="AJ410" s="74"/>
    </row>
    <row r="411" ht="12">
      <c r="AJ411" s="74"/>
    </row>
    <row r="412" ht="12">
      <c r="AJ412" s="74"/>
    </row>
    <row r="413" ht="12">
      <c r="AJ413" s="74"/>
    </row>
    <row r="414" ht="12">
      <c r="AJ414" s="74"/>
    </row>
    <row r="415" ht="12">
      <c r="AJ415" s="74"/>
    </row>
    <row r="416" ht="12">
      <c r="AJ416" s="74"/>
    </row>
    <row r="417" ht="12">
      <c r="AJ417" s="74"/>
    </row>
    <row r="418" ht="12">
      <c r="AJ418" s="74"/>
    </row>
    <row r="419" ht="12">
      <c r="AJ419" s="74"/>
    </row>
    <row r="420" ht="12">
      <c r="AJ420" s="74"/>
    </row>
    <row r="421" ht="12">
      <c r="AJ421" s="74"/>
    </row>
    <row r="422" ht="12">
      <c r="AJ422" s="74"/>
    </row>
    <row r="423" ht="12">
      <c r="AJ423" s="74"/>
    </row>
    <row r="424" ht="12">
      <c r="AJ424" s="74"/>
    </row>
    <row r="425" ht="12">
      <c r="AJ425" s="74"/>
    </row>
    <row r="426" ht="12">
      <c r="AJ426" s="74"/>
    </row>
    <row r="427" ht="12">
      <c r="AJ427" s="74"/>
    </row>
    <row r="428" ht="12">
      <c r="AJ428" s="74"/>
    </row>
    <row r="429" ht="12">
      <c r="AJ429" s="74"/>
    </row>
    <row r="430" ht="12">
      <c r="AJ430" s="74"/>
    </row>
    <row r="431" ht="12">
      <c r="AJ431" s="74"/>
    </row>
    <row r="432" ht="12">
      <c r="AJ432" s="74"/>
    </row>
    <row r="433" ht="12">
      <c r="AJ433" s="74"/>
    </row>
    <row r="434" ht="12">
      <c r="AJ434" s="74"/>
    </row>
    <row r="435" ht="12">
      <c r="AJ435" s="74"/>
    </row>
    <row r="436" ht="12">
      <c r="AJ436" s="74"/>
    </row>
    <row r="437" ht="12">
      <c r="AJ437" s="74"/>
    </row>
    <row r="438" ht="12">
      <c r="AJ438" s="74"/>
    </row>
    <row r="439" ht="12">
      <c r="AJ439" s="74"/>
    </row>
    <row r="440" ht="12">
      <c r="AJ440" s="74"/>
    </row>
    <row r="441" ht="12">
      <c r="AJ441" s="74"/>
    </row>
    <row r="442" ht="12">
      <c r="AJ442" s="74"/>
    </row>
    <row r="443" ht="12">
      <c r="AJ443" s="74"/>
    </row>
    <row r="444" ht="12">
      <c r="AJ444" s="74"/>
    </row>
    <row r="445" ht="12">
      <c r="AJ445" s="74"/>
    </row>
    <row r="446" ht="12">
      <c r="AJ446" s="74"/>
    </row>
    <row r="447" ht="12">
      <c r="AJ447" s="74"/>
    </row>
    <row r="448" ht="12">
      <c r="AJ448" s="74"/>
    </row>
    <row r="449" ht="12">
      <c r="AJ449" s="74"/>
    </row>
    <row r="450" ht="12">
      <c r="AJ450" s="74"/>
    </row>
    <row r="451" ht="12">
      <c r="AJ451" s="74"/>
    </row>
    <row r="452" ht="12">
      <c r="AJ452" s="74"/>
    </row>
    <row r="453" ht="12">
      <c r="AJ453" s="74"/>
    </row>
    <row r="454" ht="12">
      <c r="AJ454" s="74"/>
    </row>
    <row r="455" ht="12">
      <c r="AJ455" s="74"/>
    </row>
    <row r="456" ht="12">
      <c r="AJ456" s="74"/>
    </row>
    <row r="457" ht="12">
      <c r="AJ457" s="74"/>
    </row>
    <row r="458" ht="12">
      <c r="AJ458" s="74"/>
    </row>
    <row r="459" ht="12">
      <c r="AJ459" s="74"/>
    </row>
    <row r="460" ht="12">
      <c r="AJ460" s="74"/>
    </row>
    <row r="461" ht="12">
      <c r="AJ461" s="74"/>
    </row>
    <row r="462" ht="12">
      <c r="AJ462" s="74"/>
    </row>
    <row r="463" ht="12">
      <c r="AJ463" s="74"/>
    </row>
    <row r="464" ht="12">
      <c r="AJ464" s="74"/>
    </row>
    <row r="465" ht="12">
      <c r="AJ465" s="74"/>
    </row>
    <row r="466" ht="12">
      <c r="AJ466" s="74"/>
    </row>
    <row r="467" ht="12">
      <c r="AJ467" s="74"/>
    </row>
    <row r="468" ht="12">
      <c r="AJ468" s="74"/>
    </row>
    <row r="469" ht="12">
      <c r="AJ469" s="74"/>
    </row>
    <row r="470" ht="12">
      <c r="AJ470" s="74"/>
    </row>
    <row r="471" ht="12">
      <c r="AJ471" s="74"/>
    </row>
    <row r="472" ht="12">
      <c r="AJ472" s="74"/>
    </row>
    <row r="473" ht="12">
      <c r="AJ473" s="74"/>
    </row>
    <row r="474" ht="12">
      <c r="AJ474" s="74"/>
    </row>
    <row r="475" ht="12">
      <c r="AJ475" s="74"/>
    </row>
    <row r="476" ht="12">
      <c r="AJ476" s="74"/>
    </row>
    <row r="477" ht="12">
      <c r="AJ477" s="74"/>
    </row>
    <row r="478" ht="12">
      <c r="AJ478" s="74"/>
    </row>
    <row r="479" ht="12">
      <c r="AJ479" s="74"/>
    </row>
    <row r="480" ht="12">
      <c r="AJ480" s="74"/>
    </row>
    <row r="481" ht="12">
      <c r="AJ481" s="74"/>
    </row>
    <row r="482" ht="12">
      <c r="AJ482" s="74"/>
    </row>
    <row r="483" ht="12">
      <c r="AJ483" s="74"/>
    </row>
    <row r="484" ht="12">
      <c r="AJ484" s="74"/>
    </row>
    <row r="485" ht="12">
      <c r="AJ485" s="74"/>
    </row>
    <row r="486" ht="12">
      <c r="AJ486" s="74"/>
    </row>
    <row r="487" ht="12">
      <c r="AJ487" s="74"/>
    </row>
    <row r="488" ht="12">
      <c r="AJ488" s="74"/>
    </row>
    <row r="489" ht="12">
      <c r="AJ489" s="74"/>
    </row>
    <row r="490" ht="12">
      <c r="AJ490" s="74"/>
    </row>
    <row r="491" ht="12">
      <c r="AJ491" s="74"/>
    </row>
    <row r="492" ht="12">
      <c r="AJ492" s="74"/>
    </row>
    <row r="493" ht="12">
      <c r="AJ493" s="74"/>
    </row>
    <row r="494" ht="12">
      <c r="AJ494" s="74"/>
    </row>
    <row r="495" ht="12">
      <c r="AJ495" s="74"/>
    </row>
    <row r="496" ht="12">
      <c r="AJ496" s="74"/>
    </row>
    <row r="497" ht="12">
      <c r="AJ497" s="74"/>
    </row>
    <row r="498" ht="12">
      <c r="AJ498" s="74"/>
    </row>
    <row r="499" ht="12">
      <c r="AJ499" s="74"/>
    </row>
    <row r="500" ht="12">
      <c r="AJ500" s="74"/>
    </row>
    <row r="501" ht="12">
      <c r="AJ501" s="74"/>
    </row>
    <row r="502" ht="12">
      <c r="AJ502" s="74"/>
    </row>
    <row r="503" ht="12">
      <c r="AJ503" s="74"/>
    </row>
    <row r="504" ht="12">
      <c r="AJ504" s="74"/>
    </row>
    <row r="505" ht="12">
      <c r="AJ505" s="74"/>
    </row>
    <row r="506" ht="12">
      <c r="AJ506" s="74"/>
    </row>
    <row r="507" ht="12">
      <c r="AJ507" s="74"/>
    </row>
    <row r="508" ht="12">
      <c r="AJ508" s="74"/>
    </row>
    <row r="509" ht="12">
      <c r="AJ509" s="74"/>
    </row>
    <row r="510" ht="12">
      <c r="AJ510" s="74"/>
    </row>
    <row r="511" ht="12">
      <c r="AJ511" s="74"/>
    </row>
    <row r="512" ht="12">
      <c r="AJ512" s="74"/>
    </row>
    <row r="513" ht="12">
      <c r="AJ513" s="74"/>
    </row>
    <row r="514" ht="12">
      <c r="AJ514" s="74"/>
    </row>
    <row r="515" ht="12">
      <c r="AJ515" s="74"/>
    </row>
    <row r="516" ht="12">
      <c r="AJ516" s="74"/>
    </row>
    <row r="517" ht="12">
      <c r="AJ517" s="74"/>
    </row>
    <row r="518" ht="12">
      <c r="AJ518" s="74"/>
    </row>
    <row r="519" ht="12">
      <c r="AJ519" s="74"/>
    </row>
    <row r="520" ht="12">
      <c r="AJ520" s="74"/>
    </row>
    <row r="521" ht="12">
      <c r="AJ521" s="74"/>
    </row>
    <row r="522" ht="12">
      <c r="AJ522" s="74"/>
    </row>
    <row r="523" ht="12">
      <c r="AJ523" s="74"/>
    </row>
    <row r="524" ht="12">
      <c r="AJ524" s="74"/>
    </row>
    <row r="525" ht="12">
      <c r="AJ525" s="74"/>
    </row>
    <row r="526" ht="12">
      <c r="AJ526" s="74"/>
    </row>
    <row r="527" ht="12">
      <c r="AJ527" s="74"/>
    </row>
    <row r="528" ht="12">
      <c r="AJ528" s="74"/>
    </row>
    <row r="529" ht="12">
      <c r="AJ529" s="74"/>
    </row>
    <row r="530" ht="12">
      <c r="AJ530" s="74"/>
    </row>
    <row r="531" ht="12">
      <c r="AJ531" s="74"/>
    </row>
    <row r="532" ht="12">
      <c r="AJ532" s="74"/>
    </row>
    <row r="533" ht="12">
      <c r="AJ533" s="74"/>
    </row>
    <row r="534" ht="12">
      <c r="AJ534" s="74"/>
    </row>
    <row r="535" ht="12">
      <c r="AJ535" s="74"/>
    </row>
    <row r="536" ht="12">
      <c r="AJ536" s="74"/>
    </row>
    <row r="537" ht="12">
      <c r="AJ537" s="74"/>
    </row>
    <row r="538" ht="12">
      <c r="AJ538" s="74"/>
    </row>
    <row r="539" ht="12">
      <c r="AJ539" s="74"/>
    </row>
    <row r="540" ht="12">
      <c r="AJ540" s="74"/>
    </row>
    <row r="541" ht="12">
      <c r="AJ541" s="74"/>
    </row>
    <row r="542" ht="12">
      <c r="AJ542" s="74"/>
    </row>
    <row r="543" ht="12">
      <c r="AJ543" s="74"/>
    </row>
    <row r="544" ht="12">
      <c r="AJ544" s="74"/>
    </row>
    <row r="545" ht="12">
      <c r="AJ545" s="74"/>
    </row>
    <row r="546" ht="12">
      <c r="AJ546" s="74"/>
    </row>
    <row r="547" ht="12">
      <c r="AJ547" s="74"/>
    </row>
    <row r="548" ht="12">
      <c r="AJ548" s="74"/>
    </row>
    <row r="549" ht="12">
      <c r="AJ549" s="74"/>
    </row>
    <row r="550" ht="12">
      <c r="AJ550" s="74"/>
    </row>
    <row r="551" ht="12">
      <c r="AJ551" s="74"/>
    </row>
    <row r="552" ht="12">
      <c r="AJ552" s="74"/>
    </row>
    <row r="553" ht="12">
      <c r="AJ553" s="74"/>
    </row>
    <row r="554" ht="12">
      <c r="AJ554" s="74"/>
    </row>
    <row r="555" ht="12">
      <c r="AJ555" s="74"/>
    </row>
    <row r="556" ht="12">
      <c r="AJ556" s="74"/>
    </row>
    <row r="557" ht="12">
      <c r="AJ557" s="74"/>
    </row>
    <row r="558" ht="12">
      <c r="AJ558" s="74"/>
    </row>
    <row r="559" ht="12">
      <c r="AJ559" s="74"/>
    </row>
    <row r="560" ht="12">
      <c r="AJ560" s="74"/>
    </row>
    <row r="561" ht="12">
      <c r="AJ561" s="74"/>
    </row>
    <row r="562" ht="12">
      <c r="AJ562" s="74"/>
    </row>
    <row r="563" ht="12">
      <c r="AJ563" s="74"/>
    </row>
    <row r="564" ht="12">
      <c r="AJ564" s="74"/>
    </row>
    <row r="565" ht="12">
      <c r="AJ565" s="74"/>
    </row>
    <row r="566" ht="12">
      <c r="AJ566" s="74"/>
    </row>
    <row r="567" ht="12">
      <c r="AJ567" s="74"/>
    </row>
    <row r="568" ht="12">
      <c r="AJ568" s="74"/>
    </row>
    <row r="569" ht="12">
      <c r="AJ569" s="74"/>
    </row>
    <row r="570" ht="12">
      <c r="AJ570" s="74"/>
    </row>
    <row r="571" ht="12">
      <c r="AJ571" s="74"/>
    </row>
    <row r="572" ht="12">
      <c r="AJ572" s="74"/>
    </row>
    <row r="573" ht="12">
      <c r="AJ573" s="74"/>
    </row>
    <row r="574" ht="12">
      <c r="AJ574" s="74"/>
    </row>
    <row r="575" ht="12">
      <c r="AJ575" s="74"/>
    </row>
    <row r="576" ht="12">
      <c r="AJ576" s="74"/>
    </row>
    <row r="577" ht="12">
      <c r="AJ577" s="74"/>
    </row>
    <row r="578" ht="12">
      <c r="AJ578" s="74"/>
    </row>
    <row r="579" ht="12">
      <c r="AJ579" s="74"/>
    </row>
    <row r="580" ht="12">
      <c r="AJ580" s="74"/>
    </row>
    <row r="581" ht="12">
      <c r="AJ581" s="74"/>
    </row>
    <row r="582" ht="12">
      <c r="AJ582" s="74"/>
    </row>
    <row r="583" ht="12">
      <c r="AJ583" s="74"/>
    </row>
    <row r="584" ht="12">
      <c r="AJ584" s="74"/>
    </row>
    <row r="585" ht="12">
      <c r="AJ585" s="74"/>
    </row>
    <row r="586" ht="12">
      <c r="AJ586" s="74"/>
    </row>
    <row r="587" ht="12">
      <c r="AJ587" s="74"/>
    </row>
    <row r="588" ht="12">
      <c r="AJ588" s="74"/>
    </row>
    <row r="589" ht="12">
      <c r="AJ589" s="74"/>
    </row>
    <row r="590" ht="12">
      <c r="AJ590" s="74"/>
    </row>
    <row r="591" ht="12">
      <c r="AJ591" s="74"/>
    </row>
    <row r="592" ht="12">
      <c r="AJ592" s="74"/>
    </row>
    <row r="593" ht="12">
      <c r="AJ593" s="74"/>
    </row>
    <row r="594" ht="12">
      <c r="AJ594" s="74"/>
    </row>
    <row r="595" ht="12">
      <c r="AJ595" s="74"/>
    </row>
    <row r="596" ht="12">
      <c r="AJ596" s="74"/>
    </row>
    <row r="597" ht="12">
      <c r="AJ597" s="74"/>
    </row>
    <row r="598" ht="12">
      <c r="AJ598" s="74"/>
    </row>
    <row r="599" ht="12">
      <c r="AJ599" s="74"/>
    </row>
    <row r="600" ht="12">
      <c r="AJ600" s="74"/>
    </row>
    <row r="601" ht="12">
      <c r="AJ601" s="74"/>
    </row>
    <row r="602" ht="12">
      <c r="AJ602" s="74"/>
    </row>
    <row r="603" ht="12">
      <c r="AJ603" s="74"/>
    </row>
    <row r="604" ht="12">
      <c r="AJ604" s="74"/>
    </row>
    <row r="605" ht="12">
      <c r="AJ605" s="74"/>
    </row>
    <row r="606" ht="12">
      <c r="AJ606" s="74"/>
    </row>
    <row r="607" ht="12">
      <c r="AJ607" s="74"/>
    </row>
    <row r="608" ht="12">
      <c r="AJ608" s="74"/>
    </row>
    <row r="609" ht="12">
      <c r="AJ609" s="74"/>
    </row>
    <row r="610" ht="12">
      <c r="AJ610" s="74"/>
    </row>
    <row r="611" ht="12">
      <c r="AJ611" s="74"/>
    </row>
    <row r="612" ht="12">
      <c r="AJ612" s="74"/>
    </row>
    <row r="613" ht="12">
      <c r="AJ613" s="74"/>
    </row>
    <row r="614" ht="12">
      <c r="AJ614" s="74"/>
    </row>
    <row r="615" ht="12">
      <c r="AJ615" s="74"/>
    </row>
    <row r="616" ht="12">
      <c r="AJ616" s="74"/>
    </row>
    <row r="617" ht="12">
      <c r="AJ617" s="74"/>
    </row>
    <row r="618" ht="12">
      <c r="AJ618" s="74"/>
    </row>
    <row r="619" ht="12">
      <c r="AJ619" s="74"/>
    </row>
    <row r="620" ht="12">
      <c r="AJ620" s="74"/>
    </row>
    <row r="621" ht="12">
      <c r="AJ621" s="74"/>
    </row>
    <row r="622" ht="12">
      <c r="AJ622" s="74"/>
    </row>
    <row r="623" ht="12">
      <c r="AJ623" s="74"/>
    </row>
    <row r="624" ht="12">
      <c r="AJ624" s="74"/>
    </row>
    <row r="625" ht="12">
      <c r="AJ625" s="74"/>
    </row>
    <row r="626" ht="12">
      <c r="AJ626" s="74"/>
    </row>
    <row r="627" ht="12">
      <c r="AJ627" s="74"/>
    </row>
    <row r="628" ht="12">
      <c r="AJ628" s="74"/>
    </row>
    <row r="629" ht="12">
      <c r="AJ629" s="74"/>
    </row>
    <row r="630" ht="12">
      <c r="AJ630" s="74"/>
    </row>
    <row r="631" ht="12">
      <c r="AJ631" s="74"/>
    </row>
    <row r="632" ht="12">
      <c r="AJ632" s="74"/>
    </row>
    <row r="633" ht="12">
      <c r="AJ633" s="74"/>
    </row>
    <row r="634" ht="12">
      <c r="AJ634" s="74"/>
    </row>
    <row r="635" ht="12">
      <c r="AJ635" s="74"/>
    </row>
    <row r="636" ht="12">
      <c r="AJ636" s="74"/>
    </row>
    <row r="637" ht="12">
      <c r="AJ637" s="74"/>
    </row>
    <row r="638" ht="12">
      <c r="AJ638" s="74"/>
    </row>
    <row r="639" ht="12">
      <c r="AJ639" s="74"/>
    </row>
    <row r="640" ht="12">
      <c r="AJ640" s="74"/>
    </row>
    <row r="641" ht="12">
      <c r="AJ641" s="74"/>
    </row>
    <row r="642" ht="12">
      <c r="AJ642" s="74"/>
    </row>
    <row r="643" ht="12">
      <c r="AJ643" s="74"/>
    </row>
    <row r="644" ht="12">
      <c r="AJ644" s="74"/>
    </row>
    <row r="645" ht="12">
      <c r="AJ645" s="74"/>
    </row>
    <row r="646" ht="12">
      <c r="AJ646" s="74"/>
    </row>
    <row r="647" ht="12">
      <c r="AJ647" s="74"/>
    </row>
    <row r="648" ht="12">
      <c r="AJ648" s="74"/>
    </row>
    <row r="649" ht="12">
      <c r="AJ649" s="74"/>
    </row>
    <row r="650" ht="12">
      <c r="AJ650" s="74"/>
    </row>
    <row r="651" ht="12">
      <c r="AJ651" s="74"/>
    </row>
    <row r="652" ht="12">
      <c r="AJ652" s="74"/>
    </row>
    <row r="653" ht="12">
      <c r="AJ653" s="74"/>
    </row>
    <row r="654" ht="12">
      <c r="AJ654" s="74"/>
    </row>
    <row r="655" ht="12">
      <c r="AJ655" s="74"/>
    </row>
    <row r="656" ht="12">
      <c r="AJ656" s="74"/>
    </row>
    <row r="657" ht="12">
      <c r="AJ657" s="74"/>
    </row>
    <row r="658" ht="12">
      <c r="AJ658" s="74"/>
    </row>
    <row r="659" ht="12">
      <c r="AJ659" s="74"/>
    </row>
    <row r="660" ht="12">
      <c r="AJ660" s="74"/>
    </row>
    <row r="661" ht="12">
      <c r="AJ661" s="74"/>
    </row>
    <row r="662" ht="12">
      <c r="AJ662" s="74"/>
    </row>
    <row r="663" ht="12">
      <c r="AJ663" s="74"/>
    </row>
    <row r="664" ht="12">
      <c r="AJ664" s="74"/>
    </row>
    <row r="665" ht="12">
      <c r="AJ665" s="74"/>
    </row>
    <row r="666" ht="12">
      <c r="AJ666" s="74"/>
    </row>
    <row r="667" ht="12">
      <c r="AJ667" s="74"/>
    </row>
    <row r="668" ht="12">
      <c r="AJ668" s="74"/>
    </row>
    <row r="669" ht="12">
      <c r="AJ669" s="74"/>
    </row>
    <row r="670" ht="12">
      <c r="AJ670" s="74"/>
    </row>
    <row r="671" ht="12">
      <c r="AJ671" s="74"/>
    </row>
    <row r="672" ht="12">
      <c r="AJ672" s="74"/>
    </row>
    <row r="673" ht="12">
      <c r="AJ673" s="74"/>
    </row>
    <row r="674" ht="12">
      <c r="AJ674" s="74"/>
    </row>
    <row r="675" ht="12">
      <c r="AJ675" s="74"/>
    </row>
    <row r="676" ht="12">
      <c r="AJ676" s="74"/>
    </row>
    <row r="677" ht="12">
      <c r="AJ677" s="74"/>
    </row>
    <row r="678" ht="12">
      <c r="AJ678" s="74"/>
    </row>
    <row r="679" ht="12">
      <c r="AJ679" s="74"/>
    </row>
    <row r="680" ht="12">
      <c r="AJ680" s="74"/>
    </row>
    <row r="681" ht="12">
      <c r="AJ681" s="74"/>
    </row>
    <row r="682" ht="12">
      <c r="AJ682" s="74"/>
    </row>
    <row r="683" ht="12">
      <c r="AJ683" s="74"/>
    </row>
    <row r="684" ht="12">
      <c r="AJ684" s="74"/>
    </row>
    <row r="685" ht="12">
      <c r="AJ685" s="74"/>
    </row>
    <row r="686" ht="12">
      <c r="AJ686" s="74"/>
    </row>
    <row r="687" ht="12">
      <c r="AJ687" s="74"/>
    </row>
    <row r="688" ht="12">
      <c r="AJ688" s="74"/>
    </row>
    <row r="689" ht="12">
      <c r="AJ689" s="74"/>
    </row>
    <row r="690" ht="12">
      <c r="AJ690" s="74"/>
    </row>
    <row r="691" ht="12">
      <c r="AJ691" s="74"/>
    </row>
    <row r="692" ht="12">
      <c r="AJ692" s="74"/>
    </row>
    <row r="693" ht="12">
      <c r="AJ693" s="74"/>
    </row>
    <row r="694" ht="12">
      <c r="AJ694" s="74"/>
    </row>
    <row r="695" ht="12">
      <c r="AJ695" s="74"/>
    </row>
    <row r="696" ht="12">
      <c r="AJ696" s="74"/>
    </row>
    <row r="697" ht="12">
      <c r="AJ697" s="74"/>
    </row>
    <row r="698" ht="12">
      <c r="AJ698" s="74"/>
    </row>
    <row r="699" ht="12">
      <c r="AJ699" s="74"/>
    </row>
    <row r="700" ht="12">
      <c r="AJ700" s="74"/>
    </row>
    <row r="701" ht="12">
      <c r="AJ701" s="74"/>
    </row>
    <row r="702" ht="12">
      <c r="AJ702" s="74"/>
    </row>
    <row r="703" ht="12">
      <c r="AJ703" s="74"/>
    </row>
    <row r="704" ht="12">
      <c r="AJ704" s="74"/>
    </row>
    <row r="705" ht="12">
      <c r="AJ705" s="74"/>
    </row>
    <row r="706" ht="12">
      <c r="AJ706" s="74"/>
    </row>
    <row r="707" ht="12">
      <c r="AJ707" s="74"/>
    </row>
    <row r="708" ht="12">
      <c r="AJ708" s="74"/>
    </row>
    <row r="709" ht="12">
      <c r="AJ709" s="74"/>
    </row>
    <row r="710" ht="12">
      <c r="AJ710" s="74"/>
    </row>
    <row r="711" ht="12">
      <c r="AJ711" s="74"/>
    </row>
    <row r="712" ht="12">
      <c r="AJ712" s="74"/>
    </row>
    <row r="713" ht="12">
      <c r="AJ713" s="74"/>
    </row>
    <row r="714" ht="12">
      <c r="AJ714" s="74"/>
    </row>
    <row r="715" ht="12">
      <c r="AJ715" s="74"/>
    </row>
    <row r="716" ht="12">
      <c r="AJ716" s="74"/>
    </row>
    <row r="717" ht="12">
      <c r="AJ717" s="74"/>
    </row>
    <row r="718" ht="12">
      <c r="AJ718" s="74"/>
    </row>
    <row r="719" ht="12">
      <c r="AJ719" s="74"/>
    </row>
    <row r="720" ht="12">
      <c r="AJ720" s="74"/>
    </row>
    <row r="721" ht="12">
      <c r="AJ721" s="74"/>
    </row>
    <row r="722" ht="12">
      <c r="AJ722" s="74"/>
    </row>
    <row r="723" ht="12">
      <c r="AJ723" s="74"/>
    </row>
    <row r="724" ht="12">
      <c r="AJ724" s="74"/>
    </row>
    <row r="725" ht="12">
      <c r="AJ725" s="74"/>
    </row>
    <row r="726" ht="12">
      <c r="AJ726" s="74"/>
    </row>
    <row r="727" ht="12">
      <c r="AJ727" s="74"/>
    </row>
    <row r="728" ht="12">
      <c r="AJ728" s="74"/>
    </row>
    <row r="729" ht="12">
      <c r="AJ729" s="74"/>
    </row>
    <row r="730" ht="12">
      <c r="AJ730" s="74"/>
    </row>
    <row r="731" ht="12">
      <c r="AJ731" s="74"/>
    </row>
    <row r="732" ht="12">
      <c r="AJ732" s="74"/>
    </row>
    <row r="733" ht="12">
      <c r="AJ733" s="74"/>
    </row>
    <row r="734" ht="12">
      <c r="AJ734" s="74"/>
    </row>
    <row r="735" ht="12">
      <c r="AJ735" s="74"/>
    </row>
    <row r="736" ht="12">
      <c r="AJ736" s="74"/>
    </row>
    <row r="737" ht="12">
      <c r="AJ737" s="74"/>
    </row>
    <row r="738" ht="12">
      <c r="AJ738" s="74"/>
    </row>
    <row r="739" ht="12">
      <c r="AJ739" s="74"/>
    </row>
  </sheetData>
  <printOptions/>
  <pageMargins left="1.11" right="0.5" top="1.46" bottom="1.19" header="0.41" footer="0.53"/>
  <pageSetup fitToHeight="3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 Paninho</dc:creator>
  <cp:keywords/>
  <dc:description/>
  <cp:lastModifiedBy>Albano</cp:lastModifiedBy>
  <dcterms:created xsi:type="dcterms:W3CDTF">1998-03-08T09:32:38Z</dcterms:created>
  <dcterms:modified xsi:type="dcterms:W3CDTF">2010-05-19T09:56:48Z</dcterms:modified>
  <cp:category/>
  <cp:version/>
  <cp:contentType/>
  <cp:contentStatus/>
</cp:coreProperties>
</file>