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1"/>
  </bookViews>
  <sheets>
    <sheet name="TBN11" sheetId="1" r:id="rId1"/>
    <sheet name="Folha1" sheetId="2" r:id="rId2"/>
  </sheets>
  <definedNames>
    <definedName name="\f">'TBN11'!$AX$3</definedName>
    <definedName name="\p">'TBN11'!$AV$3:$AV$38</definedName>
    <definedName name="_xlnm.Print_Area" localSheetId="0">'TBN11'!$A$57:$AK$160</definedName>
    <definedName name="_xlnm.Print_Area">'TBN11'!$A$57:$AK$160</definedName>
    <definedName name="CEXPL">'TBN11'!$A$137:$W$160</definedName>
    <definedName name="INPUTS">'TBN11'!$A$3:$O$52</definedName>
    <definedName name="Print_Area_MI" localSheetId="0">'TBN11'!$A$57:$AK$160</definedName>
    <definedName name="PRINT_AREA_MI">'TBN11'!$A$57:$AK$160</definedName>
  </definedNames>
  <calcPr fullCalcOnLoad="1"/>
</workbook>
</file>

<file path=xl/sharedStrings.xml><?xml version="1.0" encoding="utf-8"?>
<sst xmlns="http://schemas.openxmlformats.org/spreadsheetml/2006/main" count="219" uniqueCount="162">
  <si>
    <t xml:space="preserve">  </t>
  </si>
  <si>
    <t>{home}</t>
  </si>
  <si>
    <t>/ppop72~</t>
  </si>
  <si>
    <t>ml0~mb0~mt2~</t>
  </si>
  <si>
    <t>1 - PRESSUPOSTOS DO INVESTIMENTO</t>
  </si>
  <si>
    <t>qra1..p35~</t>
  </si>
  <si>
    <t>gp</t>
  </si>
  <si>
    <t>2 - DETERMINAÇAO DA TAXA INTERNA DE RENTABILIDADE(TIR)</t>
  </si>
  <si>
    <t>Tipo de Navio</t>
  </si>
  <si>
    <t>Dwt/Capacidade</t>
  </si>
  <si>
    <t>Tx. Juro</t>
  </si>
  <si>
    <t>VAL</t>
  </si>
  <si>
    <t>Idade do Navio</t>
  </si>
  <si>
    <t>Vida Util</t>
  </si>
  <si>
    <t>Preco de Aquisicao</t>
  </si>
  <si>
    <t>EUR</t>
  </si>
  <si>
    <t>Valor Residual</t>
  </si>
  <si>
    <t>TIR:</t>
  </si>
  <si>
    <t>Investimento Inicial</t>
  </si>
  <si>
    <t>Modo de Financiamento</t>
  </si>
  <si>
    <t>Capital Proprio</t>
  </si>
  <si>
    <t>Capital Alheio</t>
  </si>
  <si>
    <t>Montante</t>
  </si>
  <si>
    <t>NºSemestralidades</t>
  </si>
  <si>
    <t>Taxa de Juro</t>
  </si>
  <si>
    <t>Custos de Armamento (por Semestre)</t>
  </si>
  <si>
    <t>Pessoal</t>
  </si>
  <si>
    <t xml:space="preserve">   Total</t>
  </si>
  <si>
    <t>Receitas Comerciais</t>
  </si>
  <si>
    <t>Despesas Comercias</t>
  </si>
  <si>
    <t>3 - ANALISE DE INVESTIMENTOS</t>
  </si>
  <si>
    <t xml:space="preserve">Unidade de Tempo :  </t>
  </si>
  <si>
    <t>Semestre</t>
  </si>
  <si>
    <t>Inicio da Exploracao :  Periodo 1</t>
  </si>
  <si>
    <t>Moeda :</t>
  </si>
  <si>
    <t xml:space="preserve">        Custos de Armamento</t>
  </si>
  <si>
    <t>Periodo</t>
  </si>
  <si>
    <t>Financ.</t>
  </si>
  <si>
    <t>Cash</t>
  </si>
  <si>
    <t>Receitas</t>
  </si>
  <si>
    <t>Despesas</t>
  </si>
  <si>
    <t>/Plur.</t>
  </si>
  <si>
    <t>/Reemb.</t>
  </si>
  <si>
    <t>Total</t>
  </si>
  <si>
    <t>Out</t>
  </si>
  <si>
    <t>Comerc.</t>
  </si>
  <si>
    <t>In</t>
  </si>
  <si>
    <t>Flow</t>
  </si>
  <si>
    <t>TOTAL</t>
  </si>
  <si>
    <t>4 - MAPA DO SERVICO DA DIVIDA</t>
  </si>
  <si>
    <t xml:space="preserve">Moeda : </t>
  </si>
  <si>
    <t>Anos</t>
  </si>
  <si>
    <t xml:space="preserve">   Reembolsos</t>
  </si>
  <si>
    <t xml:space="preserve">   Juros</t>
  </si>
  <si>
    <t xml:space="preserve">     Total</t>
  </si>
  <si>
    <t>5 - MAPA DAS AMORTIZACOES ANUAIS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</si>
  <si>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</si>
  <si>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</si>
  <si>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</si>
  <si>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</si>
  <si>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</si>
  <si>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</si>
  <si>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</si>
  <si>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</si>
  <si>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</si>
  <si>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</si>
  <si>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</si>
  <si>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</si>
  <si>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</si>
  <si>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</si>
  <si>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</si>
  <si>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 Valor de Aquisicao</t>
  </si>
  <si>
    <t xml:space="preserve">  Investimento Inicial</t>
  </si>
  <si>
    <t xml:space="preserve">  Plurienais</t>
  </si>
  <si>
    <t xml:space="preserve">  Valor a Amortizar</t>
  </si>
  <si>
    <t xml:space="preserve">  Amortizacoes Acumuladas</t>
  </si>
  <si>
    <t xml:space="preserve">  Amortizacao Anual</t>
  </si>
  <si>
    <t>6 - CONTAS DE EXPLORACAO PREVISIONAIS</t>
  </si>
  <si>
    <t>Custos de Viagem</t>
  </si>
  <si>
    <t>Custos de Navio</t>
  </si>
  <si>
    <t>Margem Liquida</t>
  </si>
  <si>
    <t>Amortizacoes</t>
  </si>
  <si>
    <t>Encargos Financeiros</t>
  </si>
  <si>
    <t xml:space="preserve">Resultados </t>
  </si>
  <si>
    <t>CASHFLOW</t>
  </si>
  <si>
    <t>1 - PRESSUPOSTOS DO NEGÓCIO</t>
  </si>
  <si>
    <t>I.T. Imobilizações</t>
  </si>
  <si>
    <t>Paragem Biológica</t>
  </si>
  <si>
    <t>Capturas dia</t>
  </si>
  <si>
    <t>Dias Calendário</t>
  </si>
  <si>
    <t>Dias</t>
  </si>
  <si>
    <t>Kg</t>
  </si>
  <si>
    <t>Coef. Perdas</t>
  </si>
  <si>
    <t>%</t>
  </si>
  <si>
    <t>Capturas Ano</t>
  </si>
  <si>
    <t>Dias Úteis Pesca</t>
  </si>
  <si>
    <t>I.T. Descarga</t>
  </si>
  <si>
    <t>Capturas Real</t>
  </si>
  <si>
    <t>Cap.Real Dia</t>
  </si>
  <si>
    <t>% de Pesca</t>
  </si>
  <si>
    <t>2 - PRESSUPOSTOS DO NEGÓCIO</t>
  </si>
  <si>
    <t>Venda Kg</t>
  </si>
  <si>
    <t>Custo MGO/dia</t>
  </si>
  <si>
    <t>€</t>
  </si>
  <si>
    <t>Manutenção</t>
  </si>
  <si>
    <t>Custo Combus.</t>
  </si>
  <si>
    <t>Custos Manut.</t>
  </si>
  <si>
    <t>% Pesca Tripul.</t>
  </si>
  <si>
    <t>Total Deduções</t>
  </si>
  <si>
    <t>Vendas</t>
  </si>
  <si>
    <t>Imposto Pesca</t>
  </si>
  <si>
    <t>Condições de Financiamento</t>
  </si>
  <si>
    <t>Seguro</t>
  </si>
  <si>
    <t>Pessoal + % Pesca</t>
  </si>
  <si>
    <t>3 - PRESSUPOSTOS DO NEGÓCIO</t>
  </si>
  <si>
    <t>Venc. Base</t>
  </si>
  <si>
    <t>Expatriação</t>
  </si>
  <si>
    <t>Nº Tripulantes</t>
  </si>
  <si>
    <t>Rendições</t>
  </si>
  <si>
    <t>Un</t>
  </si>
  <si>
    <t>Trip. Expatriados</t>
  </si>
  <si>
    <t>Estadia Hotel</t>
  </si>
  <si>
    <t>Tripulantes Locais</t>
  </si>
  <si>
    <t>Seg. Acid. Trabalho</t>
  </si>
  <si>
    <t>Data de Alienação</t>
  </si>
  <si>
    <t>Última Docagem</t>
  </si>
  <si>
    <t xml:space="preserve">Seguro </t>
  </si>
  <si>
    <t>Expatriações</t>
  </si>
  <si>
    <t>Investimento.</t>
  </si>
  <si>
    <t>Póxina Docagem</t>
  </si>
  <si>
    <t>C.A.I.</t>
  </si>
  <si>
    <t>B.E.P.</t>
  </si>
  <si>
    <t>z25</t>
  </si>
  <si>
    <t>Kg/dia</t>
  </si>
  <si>
    <t>Resultado D.I.</t>
  </si>
  <si>
    <t xml:space="preserve">Nota1: Taxa Interna de Rentabilidade </t>
  </si>
  <si>
    <t>Custos Capital</t>
  </si>
  <si>
    <t>Taxa de Juro Anual</t>
  </si>
  <si>
    <t>Anual</t>
  </si>
  <si>
    <t>Custo Capital</t>
  </si>
  <si>
    <t>Capital Inicial</t>
  </si>
  <si>
    <t>Custo Capital Período</t>
  </si>
  <si>
    <t>INPUTS</t>
  </si>
  <si>
    <t>h</t>
  </si>
  <si>
    <t>Horas de Arrasto/Dia</t>
  </si>
  <si>
    <t>CONSUMO DA MÁQUINA PP E GERADORES</t>
  </si>
  <si>
    <t>Máquina pp</t>
  </si>
  <si>
    <t>Geradores</t>
  </si>
  <si>
    <t>Arrastar</t>
  </si>
  <si>
    <t>Dia</t>
  </si>
  <si>
    <t>Hora</t>
  </si>
  <si>
    <t>Equipamento</t>
  </si>
  <si>
    <t>Pairar</t>
  </si>
  <si>
    <t>Máq. pp+Gerad.</t>
  </si>
  <si>
    <t>CÁLCULO DO CUSTO DE CAPITAL</t>
  </si>
  <si>
    <t>Numero Prestações (semestre)</t>
  </si>
  <si>
    <t>Mensal</t>
  </si>
  <si>
    <t xml:space="preserve">Mercado </t>
  </si>
  <si>
    <t>Pesca Arrastão de Popa TBN 11</t>
  </si>
  <si>
    <t>TBN 11</t>
  </si>
  <si>
    <t>C.A.I. - Custo de Afretamento Interno</t>
  </si>
  <si>
    <t>B.E.P. - Ponto de Equilíbrio do Negócio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</si>
</sst>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General_)"/>
    <numFmt numFmtId="173" formatCode="#,"/>
    <numFmt numFmtId="174" formatCode="0_)"/>
    <numFmt numFmtId="175" formatCode="0.000%"/>
    <numFmt numFmtId="176" formatCode="#,##0.00\ _€;[Red]#,##0.00\ _€"/>
    <numFmt numFmtId="177" formatCode="0.0%"/>
    <numFmt numFmtId="178" formatCode="#,##0.00\ &quot;€&quot;"/>
    <numFmt numFmtId="179" formatCode="#,##0.00;[Red]#,##0.00"/>
    <numFmt numFmtId="180" formatCode="#,##0.00\ &quot;€&quot;;[Red]#,##0.00\ &quot;€&quot;"/>
    <numFmt numFmtId="181" formatCode="#,##0;[Red]#,##0"/>
    <numFmt numFmtId="182" formatCode="#,##0\ _€;[Red]#,##0\ _€"/>
    <numFmt numFmtId="183" formatCode="0;[Red]0"/>
    <numFmt numFmtId="184" formatCode="#,##0.000\ _€;[Red]#,##0.000\ _€"/>
    <numFmt numFmtId="185" formatCode="#,##0.0\ _€;[Red]#,##0.0\ _€"/>
    <numFmt numFmtId="186" formatCode="#,##0.00\ _€"/>
    <numFmt numFmtId="187" formatCode="#,##0\ &quot;€&quot;;[Red]#,##0\ &quot;€&quot;"/>
    <numFmt numFmtId="188" formatCode="#,##0\ &quot;€&quot;"/>
  </numFmts>
  <fonts count="9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8"/>
      <name val="Arial"/>
      <family val="2"/>
    </font>
    <font>
      <b/>
      <sz val="12"/>
      <name val="Courier"/>
      <family val="3"/>
    </font>
    <font>
      <b/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ourier"/>
      <family val="3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4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b/>
      <sz val="14"/>
      <color indexed="17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62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48"/>
      <color indexed="10"/>
      <name val="Arial"/>
      <family val="2"/>
    </font>
    <font>
      <sz val="48"/>
      <color indexed="10"/>
      <name val="Courier"/>
      <family val="3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3"/>
      <name val="Calibri"/>
      <family val="2"/>
    </font>
    <font>
      <b/>
      <sz val="16"/>
      <color theme="3"/>
      <name val="Calibri"/>
      <family val="2"/>
    </font>
    <font>
      <b/>
      <sz val="14"/>
      <color rgb="FF00B05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48"/>
      <color rgb="FFFF0000"/>
      <name val="Arial"/>
      <family val="2"/>
    </font>
    <font>
      <sz val="48"/>
      <color rgb="FFFF0000"/>
      <name val="Courier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4" applyNumberFormat="0" applyAlignment="0" applyProtection="0"/>
    <xf numFmtId="0" fontId="68" fillId="0" borderId="5" applyNumberFormat="0" applyFill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2" fillId="30" borderId="0" applyNumberFormat="0" applyBorder="0" applyAlignment="0" applyProtection="0"/>
    <xf numFmtId="0" fontId="0" fillId="31" borderId="6" applyNumberFormat="0" applyFont="0" applyAlignment="0" applyProtection="0"/>
    <xf numFmtId="9" fontId="4" fillId="0" borderId="0" applyFont="0" applyFill="0" applyBorder="0" applyAlignment="0" applyProtection="0"/>
    <xf numFmtId="173" fontId="6" fillId="0" borderId="0">
      <alignment/>
      <protection locked="0"/>
    </xf>
    <xf numFmtId="0" fontId="73" fillId="20" borderId="7" applyNumberFormat="0" applyAlignment="0" applyProtection="0"/>
    <xf numFmtId="173" fontId="7" fillId="0" borderId="0">
      <alignment/>
      <protection locked="0"/>
    </xf>
    <xf numFmtId="16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  <xf numFmtId="171" fontId="4" fillId="0" borderId="0" applyFont="0" applyFill="0" applyBorder="0" applyAlignment="0" applyProtection="0"/>
  </cellStyleXfs>
  <cellXfs count="237">
    <xf numFmtId="172" fontId="0" fillId="0" borderId="0" xfId="0" applyAlignment="1">
      <alignment/>
    </xf>
    <xf numFmtId="172" fontId="5" fillId="0" borderId="0" xfId="0" applyNumberFormat="1" applyFont="1" applyFill="1" applyAlignment="1" applyProtection="1">
      <alignment horizontal="left"/>
      <protection/>
    </xf>
    <xf numFmtId="172" fontId="5" fillId="0" borderId="0" xfId="0" applyFont="1" applyFill="1" applyAlignment="1">
      <alignment horizontal="left"/>
    </xf>
    <xf numFmtId="172" fontId="10" fillId="0" borderId="0" xfId="0" applyFont="1" applyAlignment="1">
      <alignment/>
    </xf>
    <xf numFmtId="172" fontId="11" fillId="0" borderId="0" xfId="0" applyNumberFormat="1" applyFont="1" applyFill="1" applyAlignment="1" applyProtection="1">
      <alignment horizontal="left"/>
      <protection/>
    </xf>
    <xf numFmtId="172" fontId="11" fillId="0" borderId="10" xfId="0" applyNumberFormat="1" applyFont="1" applyFill="1" applyBorder="1" applyAlignment="1" applyProtection="1">
      <alignment horizontal="left"/>
      <protection/>
    </xf>
    <xf numFmtId="172" fontId="10" fillId="0" borderId="0" xfId="0" applyFont="1" applyBorder="1" applyAlignment="1">
      <alignment/>
    </xf>
    <xf numFmtId="172" fontId="10" fillId="0" borderId="11" xfId="0" applyFont="1" applyBorder="1" applyAlignment="1">
      <alignment/>
    </xf>
    <xf numFmtId="172" fontId="11" fillId="0" borderId="10" xfId="0" applyFont="1" applyFill="1" applyBorder="1" applyAlignment="1">
      <alignment/>
    </xf>
    <xf numFmtId="3" fontId="12" fillId="0" borderId="0" xfId="0" applyNumberFormat="1" applyFont="1" applyBorder="1" applyAlignment="1" applyProtection="1">
      <alignment horizontal="right"/>
      <protection locked="0"/>
    </xf>
    <xf numFmtId="172" fontId="11" fillId="0" borderId="0" xfId="0" applyFont="1" applyFill="1" applyAlignment="1">
      <alignment horizontal="center"/>
    </xf>
    <xf numFmtId="174" fontId="11" fillId="33" borderId="12" xfId="0" applyNumberFormat="1" applyFont="1" applyFill="1" applyBorder="1" applyAlignment="1" applyProtection="1">
      <alignment horizontal="right"/>
      <protection/>
    </xf>
    <xf numFmtId="172" fontId="11" fillId="33" borderId="13" xfId="0" applyFont="1" applyFill="1" applyBorder="1" applyAlignment="1">
      <alignment/>
    </xf>
    <xf numFmtId="174" fontId="11" fillId="33" borderId="14" xfId="0" applyNumberFormat="1" applyFont="1" applyFill="1" applyBorder="1" applyAlignment="1" applyProtection="1">
      <alignment horizontal="center"/>
      <protection/>
    </xf>
    <xf numFmtId="172" fontId="11" fillId="33" borderId="15" xfId="0" applyFont="1" applyFill="1" applyBorder="1" applyAlignment="1">
      <alignment/>
    </xf>
    <xf numFmtId="172" fontId="11" fillId="33" borderId="16" xfId="0" applyFont="1" applyFill="1" applyBorder="1" applyAlignment="1">
      <alignment/>
    </xf>
    <xf numFmtId="172" fontId="11" fillId="33" borderId="17" xfId="0" applyFont="1" applyFill="1" applyBorder="1" applyAlignment="1">
      <alignment/>
    </xf>
    <xf numFmtId="175" fontId="11" fillId="0" borderId="12" xfId="0" applyNumberFormat="1" applyFont="1" applyFill="1" applyBorder="1" applyAlignment="1" applyProtection="1">
      <alignment/>
      <protection/>
    </xf>
    <xf numFmtId="172" fontId="11" fillId="0" borderId="13" xfId="0" applyFont="1" applyFill="1" applyBorder="1" applyAlignment="1">
      <alignment/>
    </xf>
    <xf numFmtId="174" fontId="11" fillId="0" borderId="14" xfId="0" applyNumberFormat="1" applyFont="1" applyFill="1" applyBorder="1" applyAlignment="1" applyProtection="1">
      <alignment/>
      <protection/>
    </xf>
    <xf numFmtId="172" fontId="11" fillId="33" borderId="12" xfId="0" applyFont="1" applyFill="1" applyBorder="1" applyAlignment="1">
      <alignment/>
    </xf>
    <xf numFmtId="172" fontId="11" fillId="33" borderId="18" xfId="0" applyFont="1" applyFill="1" applyBorder="1" applyAlignment="1">
      <alignment/>
    </xf>
    <xf numFmtId="172" fontId="12" fillId="0" borderId="0" xfId="0" applyNumberFormat="1" applyFont="1" applyFill="1" applyBorder="1" applyAlignment="1" applyProtection="1">
      <alignment horizontal="left"/>
      <protection/>
    </xf>
    <xf numFmtId="175" fontId="11" fillId="0" borderId="10" xfId="0" applyNumberFormat="1" applyFont="1" applyFill="1" applyBorder="1" applyAlignment="1" applyProtection="1">
      <alignment/>
      <protection/>
    </xf>
    <xf numFmtId="174" fontId="10" fillId="0" borderId="19" xfId="0" applyNumberFormat="1" applyFont="1" applyBorder="1" applyAlignment="1" applyProtection="1">
      <alignment/>
      <protection/>
    </xf>
    <xf numFmtId="172" fontId="11" fillId="33" borderId="10" xfId="0" applyFont="1" applyFill="1" applyBorder="1" applyAlignment="1">
      <alignment/>
    </xf>
    <xf numFmtId="172" fontId="10" fillId="33" borderId="0" xfId="0" applyFont="1" applyFill="1" applyBorder="1" applyAlignment="1">
      <alignment/>
    </xf>
    <xf numFmtId="172" fontId="10" fillId="33" borderId="11" xfId="0" applyFont="1" applyFill="1" applyBorder="1" applyAlignment="1">
      <alignment/>
    </xf>
    <xf numFmtId="172" fontId="11" fillId="0" borderId="0" xfId="0" applyNumberFormat="1" applyFont="1" applyFill="1" applyBorder="1" applyAlignment="1" applyProtection="1">
      <alignment horizontal="left"/>
      <protection/>
    </xf>
    <xf numFmtId="174" fontId="11" fillId="33" borderId="10" xfId="0" applyNumberFormat="1" applyFont="1" applyFill="1" applyBorder="1" applyAlignment="1" applyProtection="1">
      <alignment horizontal="right"/>
      <protection/>
    </xf>
    <xf numFmtId="10" fontId="11" fillId="33" borderId="11" xfId="0" applyNumberFormat="1" applyFont="1" applyFill="1" applyBorder="1" applyAlignment="1" applyProtection="1">
      <alignment horizontal="left"/>
      <protection/>
    </xf>
    <xf numFmtId="172" fontId="10" fillId="33" borderId="16" xfId="0" applyFont="1" applyFill="1" applyBorder="1" applyAlignment="1">
      <alignment/>
    </xf>
    <xf numFmtId="172" fontId="10" fillId="33" borderId="20" xfId="0" applyFont="1" applyFill="1" applyBorder="1" applyAlignment="1">
      <alignment/>
    </xf>
    <xf numFmtId="10" fontId="12" fillId="0" borderId="0" xfId="0" applyNumberFormat="1" applyFont="1" applyBorder="1" applyAlignment="1" applyProtection="1">
      <alignment/>
      <protection locked="0"/>
    </xf>
    <xf numFmtId="10" fontId="11" fillId="0" borderId="0" xfId="0" applyNumberFormat="1" applyFont="1" applyBorder="1" applyAlignment="1" applyProtection="1">
      <alignment/>
      <protection locked="0"/>
    </xf>
    <xf numFmtId="172" fontId="10" fillId="0" borderId="0" xfId="0" applyNumberFormat="1" applyFont="1" applyBorder="1" applyAlignment="1" applyProtection="1">
      <alignment/>
      <protection/>
    </xf>
    <xf numFmtId="172" fontId="11" fillId="0" borderId="0" xfId="0" applyNumberFormat="1" applyFont="1" applyFill="1" applyBorder="1" applyAlignment="1" applyProtection="1">
      <alignment horizontal="right"/>
      <protection/>
    </xf>
    <xf numFmtId="175" fontId="11" fillId="0" borderId="15" xfId="0" applyNumberFormat="1" applyFont="1" applyFill="1" applyBorder="1" applyAlignment="1" applyProtection="1">
      <alignment/>
      <protection/>
    </xf>
    <xf numFmtId="172" fontId="10" fillId="0" borderId="16" xfId="0" applyFont="1" applyBorder="1" applyAlignment="1">
      <alignment/>
    </xf>
    <xf numFmtId="174" fontId="10" fillId="0" borderId="17" xfId="0" applyNumberFormat="1" applyFont="1" applyBorder="1" applyAlignment="1" applyProtection="1">
      <alignment/>
      <protection/>
    </xf>
    <xf numFmtId="172" fontId="10" fillId="0" borderId="15" xfId="0" applyFont="1" applyBorder="1" applyAlignment="1">
      <alignment/>
    </xf>
    <xf numFmtId="172" fontId="10" fillId="0" borderId="20" xfId="0" applyFont="1" applyBorder="1" applyAlignment="1">
      <alignment/>
    </xf>
    <xf numFmtId="172" fontId="10" fillId="0" borderId="0" xfId="0" applyNumberFormat="1" applyFont="1" applyAlignment="1" applyProtection="1">
      <alignment/>
      <protection/>
    </xf>
    <xf numFmtId="172" fontId="11" fillId="0" borderId="0" xfId="0" applyNumberFormat="1" applyFont="1" applyFill="1" applyAlignment="1" applyProtection="1">
      <alignment horizontal="right"/>
      <protection/>
    </xf>
    <xf numFmtId="172" fontId="11" fillId="33" borderId="12" xfId="0" applyFont="1" applyFill="1" applyBorder="1" applyAlignment="1">
      <alignment horizontal="center"/>
    </xf>
    <xf numFmtId="172" fontId="11" fillId="33" borderId="13" xfId="0" applyFont="1" applyFill="1" applyBorder="1" applyAlignment="1">
      <alignment horizontal="center"/>
    </xf>
    <xf numFmtId="172" fontId="11" fillId="33" borderId="13" xfId="0" applyNumberFormat="1" applyFont="1" applyFill="1" applyBorder="1" applyAlignment="1" applyProtection="1">
      <alignment horizontal="center"/>
      <protection/>
    </xf>
    <xf numFmtId="172" fontId="10" fillId="33" borderId="18" xfId="0" applyFont="1" applyFill="1" applyBorder="1" applyAlignment="1">
      <alignment/>
    </xf>
    <xf numFmtId="172" fontId="11" fillId="33" borderId="10" xfId="0" applyNumberFormat="1" applyFont="1" applyFill="1" applyBorder="1" applyAlignment="1" applyProtection="1">
      <alignment horizontal="center"/>
      <protection/>
    </xf>
    <xf numFmtId="172" fontId="11" fillId="33" borderId="0" xfId="0" applyFont="1" applyFill="1" applyAlignment="1">
      <alignment horizontal="center"/>
    </xf>
    <xf numFmtId="172" fontId="11" fillId="33" borderId="10" xfId="0" applyFont="1" applyFill="1" applyBorder="1" applyAlignment="1">
      <alignment horizontal="center"/>
    </xf>
    <xf numFmtId="172" fontId="11" fillId="33" borderId="12" xfId="0" applyNumberFormat="1" applyFont="1" applyFill="1" applyBorder="1" applyAlignment="1" applyProtection="1">
      <alignment horizontal="center"/>
      <protection/>
    </xf>
    <xf numFmtId="172" fontId="11" fillId="33" borderId="15" xfId="0" applyNumberFormat="1" applyFont="1" applyFill="1" applyBorder="1" applyAlignment="1" applyProtection="1">
      <alignment horizontal="center"/>
      <protection/>
    </xf>
    <xf numFmtId="10" fontId="10" fillId="0" borderId="0" xfId="0" applyNumberFormat="1" applyFont="1" applyAlignment="1" applyProtection="1">
      <alignment/>
      <protection/>
    </xf>
    <xf numFmtId="174" fontId="10" fillId="0" borderId="0" xfId="0" applyNumberFormat="1" applyFont="1" applyAlignment="1" applyProtection="1">
      <alignment/>
      <protection/>
    </xf>
    <xf numFmtId="172" fontId="11" fillId="0" borderId="12" xfId="0" applyFont="1" applyFill="1" applyBorder="1" applyAlignment="1">
      <alignment horizontal="center"/>
    </xf>
    <xf numFmtId="172" fontId="11" fillId="0" borderId="12" xfId="0" applyFont="1" applyFill="1" applyBorder="1" applyAlignment="1">
      <alignment/>
    </xf>
    <xf numFmtId="172" fontId="11" fillId="0" borderId="10" xfId="0" applyFont="1" applyFill="1" applyBorder="1" applyAlignment="1">
      <alignment horizontal="center"/>
    </xf>
    <xf numFmtId="172" fontId="11" fillId="0" borderId="10" xfId="0" applyNumberFormat="1" applyFont="1" applyFill="1" applyBorder="1" applyAlignment="1" applyProtection="1">
      <alignment horizontal="center"/>
      <protection/>
    </xf>
    <xf numFmtId="172" fontId="11" fillId="0" borderId="10" xfId="0" applyNumberFormat="1" applyFont="1" applyFill="1" applyBorder="1" applyAlignment="1" applyProtection="1">
      <alignment/>
      <protection/>
    </xf>
    <xf numFmtId="172" fontId="11" fillId="34" borderId="10" xfId="0" applyFont="1" applyFill="1" applyBorder="1" applyAlignment="1">
      <alignment/>
    </xf>
    <xf numFmtId="174" fontId="11" fillId="0" borderId="10" xfId="0" applyNumberFormat="1" applyFont="1" applyFill="1" applyBorder="1" applyAlignment="1" applyProtection="1">
      <alignment/>
      <protection/>
    </xf>
    <xf numFmtId="172" fontId="12" fillId="34" borderId="10" xfId="0" applyNumberFormat="1" applyFont="1" applyFill="1" applyBorder="1" applyAlignment="1" applyProtection="1">
      <alignment/>
      <protection/>
    </xf>
    <xf numFmtId="172" fontId="11" fillId="0" borderId="21" xfId="0" applyNumberFormat="1" applyFont="1" applyFill="1" applyBorder="1" applyAlignment="1" applyProtection="1">
      <alignment horizontal="center"/>
      <protection/>
    </xf>
    <xf numFmtId="172" fontId="11" fillId="0" borderId="22" xfId="0" applyFont="1" applyFill="1" applyBorder="1" applyAlignment="1">
      <alignment/>
    </xf>
    <xf numFmtId="172" fontId="11" fillId="0" borderId="21" xfId="0" applyNumberFormat="1" applyFont="1" applyFill="1" applyBorder="1" applyAlignment="1" applyProtection="1">
      <alignment/>
      <protection/>
    </xf>
    <xf numFmtId="174" fontId="11" fillId="0" borderId="21" xfId="0" applyNumberFormat="1" applyFont="1" applyFill="1" applyBorder="1" applyAlignment="1" applyProtection="1">
      <alignment/>
      <protection/>
    </xf>
    <xf numFmtId="172" fontId="10" fillId="0" borderId="23" xfId="0" applyFont="1" applyBorder="1" applyAlignment="1">
      <alignment/>
    </xf>
    <xf numFmtId="174" fontId="11" fillId="0" borderId="0" xfId="0" applyNumberFormat="1" applyFont="1" applyFill="1" applyAlignment="1" applyProtection="1">
      <alignment horizontal="left"/>
      <protection/>
    </xf>
    <xf numFmtId="172" fontId="11" fillId="33" borderId="15" xfId="0" applyFont="1" applyFill="1" applyBorder="1" applyAlignment="1">
      <alignment horizontal="center"/>
    </xf>
    <xf numFmtId="172" fontId="11" fillId="33" borderId="16" xfId="0" applyFont="1" applyFill="1" applyBorder="1" applyAlignment="1">
      <alignment horizontal="center"/>
    </xf>
    <xf numFmtId="172" fontId="11" fillId="33" borderId="16" xfId="0" applyNumberFormat="1" applyFont="1" applyFill="1" applyBorder="1" applyAlignment="1" applyProtection="1">
      <alignment horizontal="center"/>
      <protection/>
    </xf>
    <xf numFmtId="174" fontId="11" fillId="33" borderId="16" xfId="0" applyNumberFormat="1" applyFont="1" applyFill="1" applyBorder="1" applyAlignment="1" applyProtection="1">
      <alignment horizontal="center"/>
      <protection/>
    </xf>
    <xf numFmtId="172" fontId="10" fillId="0" borderId="10" xfId="0" applyFont="1" applyBorder="1" applyAlignment="1">
      <alignment/>
    </xf>
    <xf numFmtId="172" fontId="11" fillId="0" borderId="10" xfId="0" applyNumberFormat="1" applyFont="1" applyFill="1" applyBorder="1" applyAlignment="1" applyProtection="1">
      <alignment/>
      <protection/>
    </xf>
    <xf numFmtId="174" fontId="10" fillId="0" borderId="0" xfId="0" applyNumberFormat="1" applyFont="1" applyBorder="1" applyAlignment="1" applyProtection="1">
      <alignment/>
      <protection/>
    </xf>
    <xf numFmtId="172" fontId="11" fillId="0" borderId="15" xfId="0" applyFont="1" applyFill="1" applyBorder="1" applyAlignment="1">
      <alignment/>
    </xf>
    <xf numFmtId="172" fontId="11" fillId="33" borderId="0" xfId="0" applyNumberFormat="1" applyFont="1" applyFill="1" applyAlignment="1" applyProtection="1">
      <alignment horizontal="center"/>
      <protection/>
    </xf>
    <xf numFmtId="174" fontId="11" fillId="33" borderId="0" xfId="0" applyNumberFormat="1" applyFont="1" applyFill="1" applyAlignment="1" applyProtection="1">
      <alignment horizontal="center"/>
      <protection/>
    </xf>
    <xf numFmtId="172" fontId="10" fillId="33" borderId="0" xfId="0" applyFont="1" applyFill="1" applyAlignment="1">
      <alignment/>
    </xf>
    <xf numFmtId="174" fontId="11" fillId="33" borderId="10" xfId="0" applyNumberFormat="1" applyFont="1" applyFill="1" applyBorder="1" applyAlignment="1" applyProtection="1">
      <alignment horizontal="center"/>
      <protection/>
    </xf>
    <xf numFmtId="174" fontId="11" fillId="33" borderId="15" xfId="0" applyNumberFormat="1" applyFont="1" applyFill="1" applyBorder="1" applyAlignment="1" applyProtection="1">
      <alignment horizontal="center"/>
      <protection/>
    </xf>
    <xf numFmtId="172" fontId="10" fillId="0" borderId="18" xfId="0" applyFont="1" applyBorder="1" applyAlignment="1">
      <alignment/>
    </xf>
    <xf numFmtId="172" fontId="11" fillId="0" borderId="18" xfId="0" applyFont="1" applyFill="1" applyBorder="1" applyAlignment="1">
      <alignment/>
    </xf>
    <xf numFmtId="172" fontId="79" fillId="0" borderId="0" xfId="0" applyFont="1" applyBorder="1" applyAlignment="1">
      <alignment/>
    </xf>
    <xf numFmtId="172" fontId="79" fillId="0" borderId="0" xfId="0" applyNumberFormat="1" applyFont="1" applyFill="1" applyBorder="1" applyAlignment="1" applyProtection="1">
      <alignment horizontal="right"/>
      <protection/>
    </xf>
    <xf numFmtId="172" fontId="0" fillId="0" borderId="12" xfId="0" applyBorder="1" applyAlignment="1">
      <alignment/>
    </xf>
    <xf numFmtId="172" fontId="0" fillId="0" borderId="13" xfId="0" applyBorder="1" applyAlignment="1">
      <alignment/>
    </xf>
    <xf numFmtId="172" fontId="0" fillId="0" borderId="18" xfId="0" applyBorder="1" applyAlignment="1">
      <alignment/>
    </xf>
    <xf numFmtId="172" fontId="0" fillId="0" borderId="10" xfId="0" applyBorder="1" applyAlignment="1">
      <alignment/>
    </xf>
    <xf numFmtId="172" fontId="0" fillId="0" borderId="0" xfId="0" applyBorder="1" applyAlignment="1">
      <alignment/>
    </xf>
    <xf numFmtId="172" fontId="5" fillId="0" borderId="0" xfId="0" applyFont="1" applyFill="1" applyBorder="1" applyAlignment="1">
      <alignment horizontal="left"/>
    </xf>
    <xf numFmtId="172" fontId="0" fillId="0" borderId="11" xfId="0" applyBorder="1" applyAlignment="1">
      <alignment/>
    </xf>
    <xf numFmtId="172" fontId="0" fillId="0" borderId="15" xfId="0" applyBorder="1" applyAlignment="1">
      <alignment/>
    </xf>
    <xf numFmtId="172" fontId="0" fillId="0" borderId="16" xfId="0" applyBorder="1" applyAlignment="1">
      <alignment/>
    </xf>
    <xf numFmtId="172" fontId="0" fillId="0" borderId="20" xfId="0" applyBorder="1" applyAlignment="1">
      <alignment/>
    </xf>
    <xf numFmtId="172" fontId="13" fillId="0" borderId="10" xfId="0" applyFont="1" applyBorder="1" applyAlignment="1">
      <alignment/>
    </xf>
    <xf numFmtId="172" fontId="13" fillId="0" borderId="0" xfId="0" applyFont="1" applyBorder="1" applyAlignment="1">
      <alignment/>
    </xf>
    <xf numFmtId="172" fontId="13" fillId="0" borderId="11" xfId="0" applyFont="1" applyBorder="1" applyAlignment="1">
      <alignment/>
    </xf>
    <xf numFmtId="172" fontId="13" fillId="0" borderId="15" xfId="0" applyFont="1" applyBorder="1" applyAlignment="1">
      <alignment/>
    </xf>
    <xf numFmtId="172" fontId="13" fillId="0" borderId="16" xfId="0" applyFont="1" applyBorder="1" applyAlignment="1">
      <alignment/>
    </xf>
    <xf numFmtId="172" fontId="13" fillId="0" borderId="20" xfId="0" applyFont="1" applyBorder="1" applyAlignment="1">
      <alignment/>
    </xf>
    <xf numFmtId="172" fontId="14" fillId="0" borderId="0" xfId="0" applyFont="1" applyBorder="1" applyAlignment="1">
      <alignment/>
    </xf>
    <xf numFmtId="172" fontId="14" fillId="0" borderId="0" xfId="0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176" fontId="80" fillId="0" borderId="0" xfId="0" applyNumberFormat="1" applyFont="1" applyBorder="1" applyAlignment="1">
      <alignment/>
    </xf>
    <xf numFmtId="172" fontId="16" fillId="0" borderId="0" xfId="0" applyNumberFormat="1" applyFont="1" applyFill="1" applyAlignment="1" applyProtection="1">
      <alignment horizontal="left"/>
      <protection/>
    </xf>
    <xf numFmtId="172" fontId="17" fillId="0" borderId="0" xfId="0" applyFont="1" applyAlignment="1">
      <alignment/>
    </xf>
    <xf numFmtId="172" fontId="18" fillId="0" borderId="0" xfId="0" applyFont="1" applyAlignment="1">
      <alignment/>
    </xf>
    <xf numFmtId="172" fontId="5" fillId="0" borderId="0" xfId="0" applyFont="1" applyFill="1" applyBorder="1" applyAlignment="1">
      <alignment/>
    </xf>
    <xf numFmtId="172" fontId="5" fillId="0" borderId="15" xfId="0" applyFont="1" applyFill="1" applyBorder="1" applyAlignment="1">
      <alignment/>
    </xf>
    <xf numFmtId="172" fontId="5" fillId="0" borderId="16" xfId="0" applyFont="1" applyFill="1" applyBorder="1" applyAlignment="1">
      <alignment/>
    </xf>
    <xf numFmtId="172" fontId="5" fillId="0" borderId="20" xfId="0" applyFont="1" applyFill="1" applyBorder="1" applyAlignment="1">
      <alignment/>
    </xf>
    <xf numFmtId="172" fontId="13" fillId="0" borderId="0" xfId="0" applyFont="1" applyFill="1" applyBorder="1" applyAlignment="1">
      <alignment/>
    </xf>
    <xf numFmtId="176" fontId="20" fillId="0" borderId="0" xfId="0" applyNumberFormat="1" applyFont="1" applyBorder="1" applyAlignment="1">
      <alignment/>
    </xf>
    <xf numFmtId="172" fontId="81" fillId="0" borderId="0" xfId="0" applyFont="1" applyBorder="1" applyAlignment="1">
      <alignment/>
    </xf>
    <xf numFmtId="172" fontId="19" fillId="0" borderId="0" xfId="0" applyFont="1" applyFill="1" applyBorder="1" applyAlignment="1">
      <alignment/>
    </xf>
    <xf numFmtId="172" fontId="13" fillId="0" borderId="16" xfId="0" applyFont="1" applyFill="1" applyBorder="1" applyAlignment="1">
      <alignment/>
    </xf>
    <xf numFmtId="172" fontId="21" fillId="0" borderId="0" xfId="0" applyFont="1" applyBorder="1" applyAlignment="1">
      <alignment/>
    </xf>
    <xf numFmtId="172" fontId="22" fillId="0" borderId="0" xfId="0" applyNumberFormat="1" applyFont="1" applyFill="1" applyBorder="1" applyAlignment="1" applyProtection="1" quotePrefix="1">
      <alignment horizontal="left"/>
      <protection/>
    </xf>
    <xf numFmtId="176" fontId="11" fillId="35" borderId="10" xfId="0" applyNumberFormat="1" applyFont="1" applyFill="1" applyBorder="1" applyAlignment="1">
      <alignment/>
    </xf>
    <xf numFmtId="176" fontId="10" fillId="0" borderId="0" xfId="0" applyNumberFormat="1" applyFont="1" applyBorder="1" applyAlignment="1" applyProtection="1">
      <alignment horizontal="right"/>
      <protection locked="0"/>
    </xf>
    <xf numFmtId="176" fontId="10" fillId="0" borderId="0" xfId="0" applyNumberFormat="1" applyFont="1" applyBorder="1" applyAlignment="1" applyProtection="1">
      <alignment/>
      <protection/>
    </xf>
    <xf numFmtId="179" fontId="11" fillId="0" borderId="10" xfId="0" applyNumberFormat="1" applyFont="1" applyFill="1" applyBorder="1" applyAlignment="1" applyProtection="1">
      <alignment/>
      <protection/>
    </xf>
    <xf numFmtId="179" fontId="12" fillId="0" borderId="0" xfId="0" applyNumberFormat="1" applyFont="1" applyBorder="1" applyAlignment="1" applyProtection="1">
      <alignment horizontal="right"/>
      <protection locked="0"/>
    </xf>
    <xf numFmtId="172" fontId="11" fillId="35" borderId="10" xfId="0" applyFont="1" applyFill="1" applyBorder="1" applyAlignment="1">
      <alignment/>
    </xf>
    <xf numFmtId="172" fontId="82" fillId="0" borderId="15" xfId="0" applyNumberFormat="1" applyFont="1" applyFill="1" applyBorder="1" applyAlignment="1" applyProtection="1">
      <alignment/>
      <protection/>
    </xf>
    <xf numFmtId="172" fontId="82" fillId="0" borderId="16" xfId="0" applyFont="1" applyBorder="1" applyAlignment="1">
      <alignment/>
    </xf>
    <xf numFmtId="182" fontId="20" fillId="0" borderId="0" xfId="0" applyNumberFormat="1" applyFont="1" applyAlignment="1">
      <alignment/>
    </xf>
    <xf numFmtId="176" fontId="83" fillId="0" borderId="15" xfId="0" applyNumberFormat="1" applyFont="1" applyFill="1" applyBorder="1" applyAlignment="1" applyProtection="1">
      <alignment/>
      <protection/>
    </xf>
    <xf numFmtId="176" fontId="83" fillId="0" borderId="16" xfId="0" applyNumberFormat="1" applyFont="1" applyBorder="1" applyAlignment="1">
      <alignment/>
    </xf>
    <xf numFmtId="172" fontId="83" fillId="0" borderId="16" xfId="0" applyFont="1" applyBorder="1" applyAlignment="1">
      <alignment/>
    </xf>
    <xf numFmtId="176" fontId="83" fillId="0" borderId="20" xfId="0" applyNumberFormat="1" applyFont="1" applyBorder="1" applyAlignment="1">
      <alignment/>
    </xf>
    <xf numFmtId="172" fontId="20" fillId="0" borderId="0" xfId="0" applyFont="1" applyFill="1" applyBorder="1" applyAlignment="1">
      <alignment/>
    </xf>
    <xf numFmtId="172" fontId="10" fillId="0" borderId="0" xfId="0" applyFont="1" applyBorder="1" applyAlignment="1">
      <alignment horizontal="right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84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85" fillId="0" borderId="0" xfId="0" applyNumberFormat="1" applyFont="1" applyBorder="1" applyAlignment="1">
      <alignment horizontal="center"/>
    </xf>
    <xf numFmtId="0" fontId="84" fillId="0" borderId="0" xfId="0" applyNumberFormat="1" applyFont="1" applyBorder="1" applyAlignment="1">
      <alignment horizontal="center"/>
    </xf>
    <xf numFmtId="0" fontId="84" fillId="0" borderId="10" xfId="0" applyNumberFormat="1" applyFont="1" applyBorder="1" applyAlignment="1">
      <alignment horizontal="center"/>
    </xf>
    <xf numFmtId="0" fontId="84" fillId="0" borderId="0" xfId="0" applyNumberFormat="1" applyFont="1" applyAlignment="1">
      <alignment horizontal="center"/>
    </xf>
    <xf numFmtId="0" fontId="84" fillId="0" borderId="0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13" fillId="0" borderId="0" xfId="0" applyNumberFormat="1" applyFont="1" applyBorder="1" applyAlignment="1">
      <alignment/>
    </xf>
    <xf numFmtId="177" fontId="86" fillId="36" borderId="24" xfId="0" applyNumberFormat="1" applyFont="1" applyFill="1" applyBorder="1" applyAlignment="1">
      <alignment horizontal="center"/>
    </xf>
    <xf numFmtId="3" fontId="87" fillId="36" borderId="24" xfId="0" applyNumberFormat="1" applyFont="1" applyFill="1" applyBorder="1" applyAlignment="1">
      <alignment horizontal="center"/>
    </xf>
    <xf numFmtId="180" fontId="86" fillId="36" borderId="24" xfId="0" applyNumberFormat="1" applyFont="1" applyFill="1" applyBorder="1" applyAlignment="1">
      <alignment horizontal="center"/>
    </xf>
    <xf numFmtId="181" fontId="23" fillId="37" borderId="0" xfId="0" applyNumberFormat="1" applyFont="1" applyFill="1" applyAlignment="1">
      <alignment horizontal="center"/>
    </xf>
    <xf numFmtId="0" fontId="0" fillId="35" borderId="0" xfId="0" applyNumberFormat="1" applyFill="1" applyBorder="1" applyAlignment="1">
      <alignment/>
    </xf>
    <xf numFmtId="0" fontId="10" fillId="35" borderId="0" xfId="0" applyNumberFormat="1" applyFont="1" applyFill="1" applyBorder="1" applyAlignment="1">
      <alignment horizontal="center"/>
    </xf>
    <xf numFmtId="180" fontId="86" fillId="35" borderId="0" xfId="0" applyNumberFormat="1" applyFont="1" applyFill="1" applyBorder="1" applyAlignment="1">
      <alignment horizontal="center"/>
    </xf>
    <xf numFmtId="180" fontId="84" fillId="36" borderId="24" xfId="0" applyNumberFormat="1" applyFont="1" applyFill="1" applyBorder="1" applyAlignment="1">
      <alignment/>
    </xf>
    <xf numFmtId="180" fontId="84" fillId="36" borderId="24" xfId="0" applyNumberFormat="1" applyFont="1" applyFill="1" applyBorder="1" applyAlignment="1">
      <alignment horizontal="center"/>
    </xf>
    <xf numFmtId="176" fontId="88" fillId="0" borderId="0" xfId="0" applyNumberFormat="1" applyFont="1" applyBorder="1" applyAlignment="1">
      <alignment/>
    </xf>
    <xf numFmtId="176" fontId="81" fillId="0" borderId="0" xfId="0" applyNumberFormat="1" applyFont="1" applyBorder="1" applyAlignment="1">
      <alignment horizontal="right"/>
    </xf>
    <xf numFmtId="172" fontId="89" fillId="0" borderId="0" xfId="0" applyFont="1" applyBorder="1" applyAlignment="1">
      <alignment/>
    </xf>
    <xf numFmtId="176" fontId="81" fillId="0" borderId="0" xfId="0" applyNumberFormat="1" applyFont="1" applyBorder="1" applyAlignment="1">
      <alignment/>
    </xf>
    <xf numFmtId="176" fontId="81" fillId="0" borderId="0" xfId="0" applyNumberFormat="1" applyFont="1" applyAlignment="1">
      <alignment/>
    </xf>
    <xf numFmtId="182" fontId="81" fillId="0" borderId="0" xfId="0" applyNumberFormat="1" applyFont="1" applyBorder="1" applyAlignment="1">
      <alignment horizontal="center"/>
    </xf>
    <xf numFmtId="172" fontId="90" fillId="0" borderId="0" xfId="0" applyFont="1" applyBorder="1" applyAlignment="1">
      <alignment horizontal="right"/>
    </xf>
    <xf numFmtId="176" fontId="79" fillId="0" borderId="0" xfId="0" applyNumberFormat="1" applyFont="1" applyBorder="1" applyAlignment="1">
      <alignment/>
    </xf>
    <xf numFmtId="9" fontId="81" fillId="0" borderId="0" xfId="0" applyNumberFormat="1" applyFont="1" applyBorder="1" applyAlignment="1">
      <alignment/>
    </xf>
    <xf numFmtId="9" fontId="81" fillId="0" borderId="0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/>
    </xf>
    <xf numFmtId="0" fontId="84" fillId="0" borderId="15" xfId="0" applyNumberFormat="1" applyFont="1" applyBorder="1" applyAlignment="1">
      <alignment/>
    </xf>
    <xf numFmtId="177" fontId="86" fillId="0" borderId="16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/>
    </xf>
    <xf numFmtId="0" fontId="91" fillId="0" borderId="11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/>
    </xf>
    <xf numFmtId="0" fontId="13" fillId="0" borderId="20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0" borderId="17" xfId="0" applyNumberFormat="1" applyFont="1" applyBorder="1" applyAlignment="1">
      <alignment/>
    </xf>
    <xf numFmtId="0" fontId="13" fillId="0" borderId="14" xfId="0" applyNumberFormat="1" applyFont="1" applyBorder="1" applyAlignment="1">
      <alignment/>
    </xf>
    <xf numFmtId="0" fontId="91" fillId="0" borderId="24" xfId="0" applyNumberFormat="1" applyFont="1" applyBorder="1" applyAlignment="1">
      <alignment/>
    </xf>
    <xf numFmtId="0" fontId="92" fillId="0" borderId="22" xfId="0" applyNumberFormat="1" applyFont="1" applyBorder="1" applyAlignment="1">
      <alignment horizontal="center"/>
    </xf>
    <xf numFmtId="0" fontId="91" fillId="0" borderId="24" xfId="0" applyNumberFormat="1" applyFont="1" applyBorder="1" applyAlignment="1">
      <alignment horizontal="center"/>
    </xf>
    <xf numFmtId="0" fontId="10" fillId="35" borderId="24" xfId="0" applyNumberFormat="1" applyFont="1" applyFill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172" fontId="0" fillId="0" borderId="19" xfId="0" applyBorder="1" applyAlignment="1">
      <alignment/>
    </xf>
    <xf numFmtId="2" fontId="13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13" fillId="0" borderId="20" xfId="0" applyNumberFormat="1" applyFont="1" applyBorder="1" applyAlignment="1">
      <alignment/>
    </xf>
    <xf numFmtId="0" fontId="91" fillId="0" borderId="16" xfId="0" applyNumberFormat="1" applyFont="1" applyBorder="1" applyAlignment="1">
      <alignment horizontal="center"/>
    </xf>
    <xf numFmtId="180" fontId="91" fillId="0" borderId="13" xfId="0" applyNumberFormat="1" applyFont="1" applyBorder="1" applyAlignment="1">
      <alignment/>
    </xf>
    <xf numFmtId="2" fontId="14" fillId="0" borderId="18" xfId="0" applyNumberFormat="1" applyFont="1" applyBorder="1" applyAlignment="1">
      <alignment horizontal="center"/>
    </xf>
    <xf numFmtId="172" fontId="15" fillId="0" borderId="14" xfId="0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2" fontId="13" fillId="0" borderId="24" xfId="0" applyNumberFormat="1" applyFont="1" applyBorder="1" applyAlignment="1">
      <alignment horizontal="center"/>
    </xf>
    <xf numFmtId="0" fontId="93" fillId="0" borderId="24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172" fontId="13" fillId="0" borderId="24" xfId="0" applyFont="1" applyBorder="1" applyAlignment="1">
      <alignment/>
    </xf>
    <xf numFmtId="0" fontId="94" fillId="0" borderId="24" xfId="0" applyNumberFormat="1" applyFont="1" applyBorder="1" applyAlignment="1">
      <alignment horizontal="center"/>
    </xf>
    <xf numFmtId="2" fontId="91" fillId="0" borderId="23" xfId="0" applyNumberFormat="1" applyFont="1" applyBorder="1" applyAlignment="1">
      <alignment/>
    </xf>
    <xf numFmtId="180" fontId="91" fillId="0" borderId="23" xfId="0" applyNumberFormat="1" applyFont="1" applyBorder="1" applyAlignment="1">
      <alignment/>
    </xf>
    <xf numFmtId="0" fontId="10" fillId="0" borderId="23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/>
    </xf>
    <xf numFmtId="0" fontId="15" fillId="0" borderId="17" xfId="0" applyNumberFormat="1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186" fontId="10" fillId="0" borderId="17" xfId="0" applyNumberFormat="1" applyFont="1" applyBorder="1" applyAlignment="1">
      <alignment horizontal="right"/>
    </xf>
    <xf numFmtId="179" fontId="91" fillId="0" borderId="24" xfId="0" applyNumberFormat="1" applyFont="1" applyBorder="1" applyAlignment="1">
      <alignment horizontal="center"/>
    </xf>
    <xf numFmtId="172" fontId="10" fillId="0" borderId="17" xfId="0" applyFont="1" applyBorder="1" applyAlignment="1">
      <alignment/>
    </xf>
    <xf numFmtId="0" fontId="23" fillId="0" borderId="13" xfId="0" applyNumberFormat="1" applyFont="1" applyBorder="1" applyAlignment="1">
      <alignment/>
    </xf>
    <xf numFmtId="176" fontId="20" fillId="0" borderId="0" xfId="0" applyNumberFormat="1" applyFont="1" applyBorder="1" applyAlignment="1">
      <alignment horizontal="right"/>
    </xf>
    <xf numFmtId="10" fontId="20" fillId="35" borderId="11" xfId="0" applyNumberFormat="1" applyFont="1" applyFill="1" applyBorder="1" applyAlignment="1">
      <alignment horizontal="center"/>
    </xf>
    <xf numFmtId="172" fontId="10" fillId="0" borderId="0" xfId="0" applyFont="1" applyAlignment="1">
      <alignment horizontal="center" vertical="center"/>
    </xf>
    <xf numFmtId="0" fontId="95" fillId="0" borderId="10" xfId="0" applyNumberFormat="1" applyFont="1" applyBorder="1" applyAlignment="1">
      <alignment/>
    </xf>
    <xf numFmtId="182" fontId="91" fillId="0" borderId="0" xfId="0" applyNumberFormat="1" applyFont="1" applyBorder="1" applyAlignment="1">
      <alignment horizontal="center"/>
    </xf>
    <xf numFmtId="183" fontId="91" fillId="0" borderId="0" xfId="0" applyNumberFormat="1" applyFont="1" applyBorder="1" applyAlignment="1">
      <alignment horizontal="center"/>
    </xf>
    <xf numFmtId="172" fontId="11" fillId="0" borderId="0" xfId="0" applyFont="1" applyFill="1" applyBorder="1" applyAlignment="1">
      <alignment/>
    </xf>
    <xf numFmtId="172" fontId="11" fillId="0" borderId="16" xfId="0" applyFont="1" applyFill="1" applyBorder="1" applyAlignment="1">
      <alignment/>
    </xf>
    <xf numFmtId="172" fontId="11" fillId="33" borderId="14" xfId="0" applyFont="1" applyFill="1" applyBorder="1" applyAlignment="1">
      <alignment horizontal="center"/>
    </xf>
    <xf numFmtId="174" fontId="11" fillId="33" borderId="17" xfId="0" applyNumberFormat="1" applyFont="1" applyFill="1" applyBorder="1" applyAlignment="1" applyProtection="1">
      <alignment horizontal="center"/>
      <protection/>
    </xf>
    <xf numFmtId="172" fontId="10" fillId="0" borderId="19" xfId="0" applyFont="1" applyBorder="1" applyAlignment="1">
      <alignment/>
    </xf>
    <xf numFmtId="172" fontId="11" fillId="33" borderId="18" xfId="0" applyFont="1" applyFill="1" applyBorder="1" applyAlignment="1">
      <alignment horizontal="center"/>
    </xf>
    <xf numFmtId="174" fontId="11" fillId="33" borderId="20" xfId="0" applyNumberFormat="1" applyFont="1" applyFill="1" applyBorder="1" applyAlignment="1" applyProtection="1">
      <alignment horizontal="center"/>
      <protection/>
    </xf>
    <xf numFmtId="174" fontId="10" fillId="0" borderId="10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0" fontId="20" fillId="0" borderId="12" xfId="0" applyNumberFormat="1" applyFont="1" applyBorder="1" applyAlignment="1">
      <alignment horizontal="center"/>
    </xf>
    <xf numFmtId="172" fontId="24" fillId="0" borderId="13" xfId="0" applyFont="1" applyBorder="1" applyAlignment="1">
      <alignment horizontal="center"/>
    </xf>
    <xf numFmtId="172" fontId="24" fillId="0" borderId="18" xfId="0" applyFont="1" applyBorder="1" applyAlignment="1">
      <alignment horizontal="center"/>
    </xf>
    <xf numFmtId="172" fontId="96" fillId="0" borderId="12" xfId="0" applyFont="1" applyBorder="1" applyAlignment="1">
      <alignment horizontal="center" vertical="center"/>
    </xf>
    <xf numFmtId="172" fontId="97" fillId="0" borderId="13" xfId="0" applyFont="1" applyBorder="1" applyAlignment="1">
      <alignment horizontal="center" vertical="center"/>
    </xf>
    <xf numFmtId="172" fontId="97" fillId="0" borderId="18" xfId="0" applyFont="1" applyBorder="1" applyAlignment="1">
      <alignment horizontal="center" vertical="center"/>
    </xf>
    <xf numFmtId="172" fontId="97" fillId="0" borderId="10" xfId="0" applyFont="1" applyBorder="1" applyAlignment="1">
      <alignment horizontal="center" vertical="center"/>
    </xf>
    <xf numFmtId="172" fontId="97" fillId="0" borderId="0" xfId="0" applyFont="1" applyBorder="1" applyAlignment="1">
      <alignment horizontal="center" vertical="center"/>
    </xf>
    <xf numFmtId="172" fontId="97" fillId="0" borderId="11" xfId="0" applyFont="1" applyBorder="1" applyAlignment="1">
      <alignment horizontal="center" vertical="center"/>
    </xf>
    <xf numFmtId="172" fontId="97" fillId="0" borderId="15" xfId="0" applyFont="1" applyBorder="1" applyAlignment="1">
      <alignment horizontal="center" vertical="center"/>
    </xf>
    <xf numFmtId="172" fontId="97" fillId="0" borderId="16" xfId="0" applyFont="1" applyBorder="1" applyAlignment="1">
      <alignment horizontal="center" vertical="center"/>
    </xf>
    <xf numFmtId="172" fontId="97" fillId="0" borderId="20" xfId="0" applyFont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Por cento" xfId="55"/>
    <cellStyle name="Saída" xfId="56"/>
    <cellStyle name="Separador de m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45"/>
          <c:y val="0.1995"/>
          <c:w val="0.38725"/>
          <c:h val="0.711"/>
        </c:manualLayout>
      </c:layout>
      <c:pieChart>
        <c:varyColors val="1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explosion val="1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277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A899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8A6B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7B4C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ED1DE"/>
              </a:solidFill>
              <a:ln w="3175">
                <a:noFill/>
              </a:ln>
            </c:spPr>
          </c:dPt>
          <c:dPt>
            <c:idx val="7"/>
            <c:explosion val="131"/>
            <c:spPr>
              <a:solidFill>
                <a:srgbClr val="C7DEE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Vencimento Base + %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de Pesca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; 1020500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Custos de Manutenção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339999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-  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Expatriação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7200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Seguro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47500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Receitas Comerciais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3999999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Custos Comerciais; 1562999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_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1"/>
              <c:pt idx="0">
                <c:v>Despesas Comerciais</c:v>
              </c:pt>
            </c:strLit>
          </c:cat>
          <c:val>
            <c:numRef>
              <c:f>TBN11!$H$39:$H$46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TBN 11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625"/>
          <c:y val="0.02625"/>
          <c:w val="0.50375"/>
          <c:h val="0.80975"/>
        </c:manualLayout>
      </c:layout>
      <c:pieChart>
        <c:varyColors val="1"/>
        <c:ser>
          <c:idx val="0"/>
          <c:order val="0"/>
          <c:spPr>
            <a:solidFill>
              <a:srgbClr val="AA4643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solidFill>
                <a:srgbClr val="9A3E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94D4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56A68"/>
              </a:solidFill>
              <a:ln w="3175">
                <a:noFill/>
              </a:ln>
            </c:spPr>
          </c:dPt>
          <c:dPt>
            <c:idx val="5"/>
            <c:explosion val="26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BAFA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E5C8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 
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TBN11!$H$39:$H$46</c:f>
              <c:numCache/>
            </c:numRef>
          </c:val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63533"/>
              </a:solidFill>
              <a:ln w="3175">
                <a:noFill/>
              </a:ln>
            </c:spPr>
          </c:dPt>
          <c:val>
            <c:numRef>
              <c:f>TBN11!$AB$20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5"/>
          <c:y val="0.88725"/>
          <c:w val="0.382"/>
          <c:h val="0.06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C0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TNB11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45"/>
          <c:y val="0.17075"/>
          <c:w val="0.489"/>
          <c:h val="0.7445"/>
        </c:manualLayout>
      </c:layout>
      <c:pieChart>
        <c:varyColors val="1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explosion val="1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277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A899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8A6B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7B4C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ED1DE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7DEE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Vencimento Base + %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de Pesca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; 1020500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Custos de Manutenção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339999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-  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Expatriação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7200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Seguro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47500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Receitas Comerciais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3999999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Custos Comerciais; 1562999 </a:t>
                    </a:r>
                  </a:p>
                </c:rich>
              </c:tx>
              <c:numFmt formatCode="General_)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_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1"/>
            <c:showLeaderLines val="1"/>
            <c:showPercent val="1"/>
          </c:dLbls>
          <c:cat>
            <c:strLit>
              <c:ptCount val="1"/>
              <c:pt idx="0">
                <c:v>Despesas Comerciais</c:v>
              </c:pt>
            </c:strLit>
          </c:cat>
          <c:val>
            <c:numRef>
              <c:f>TBN11!$H$39:$H$46</c:f>
              <c:numCache>
                <c:ptCount val="8"/>
                <c:pt idx="0">
                  <c:v>1129759.258853125</c:v>
                </c:pt>
                <c:pt idx="1">
                  <c:v>407407.4070825</c:v>
                </c:pt>
                <c:pt idx="2">
                  <c:v>7200</c:v>
                </c:pt>
                <c:pt idx="3">
                  <c:v>47500</c:v>
                </c:pt>
                <c:pt idx="5">
                  <c:v>3768518.515513125</c:v>
                </c:pt>
                <c:pt idx="7">
                  <c:v>1543055.5546539375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0.5815</cdr:y>
    </cdr:from>
    <cdr:to>
      <cdr:x>0.6555</cdr:x>
      <cdr:y>0.67625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181225" y="2019300"/>
          <a:ext cx="2419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    Vendas</a:t>
          </a:r>
        </a:p>
      </cdr:txBody>
    </cdr:sp>
  </cdr:relSizeAnchor>
  <cdr:relSizeAnchor xmlns:cdr="http://schemas.openxmlformats.org/drawingml/2006/chartDrawing">
    <cdr:from>
      <cdr:x>0.867</cdr:x>
      <cdr:y>0.33175</cdr:y>
    </cdr:from>
    <cdr:to>
      <cdr:x>1</cdr:x>
      <cdr:y>0.4065</cdr:y>
    </cdr:to>
    <cdr:sp fLocksText="0">
      <cdr:nvSpPr>
        <cdr:cNvPr id="2" name="CaixaDeTexto 2"/>
        <cdr:cNvSpPr txBox="1">
          <a:spLocks noChangeArrowheads="1"/>
        </cdr:cNvSpPr>
      </cdr:nvSpPr>
      <cdr:spPr>
        <a:xfrm>
          <a:off x="6076950" y="1152525"/>
          <a:ext cx="990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0.311</cdr:x>
      <cdr:y>0.5815</cdr:y>
    </cdr:from>
    <cdr:to>
      <cdr:x>0.6555</cdr:x>
      <cdr:y>0.67625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2181225" y="2019300"/>
          <a:ext cx="2419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    Vendas</a:t>
          </a:r>
        </a:p>
      </cdr:txBody>
    </cdr:sp>
  </cdr:relSizeAnchor>
  <cdr:relSizeAnchor xmlns:cdr="http://schemas.openxmlformats.org/drawingml/2006/chartDrawing">
    <cdr:from>
      <cdr:x>0.867</cdr:x>
      <cdr:y>0.287</cdr:y>
    </cdr:from>
    <cdr:to>
      <cdr:x>1</cdr:x>
      <cdr:y>0.363</cdr:y>
    </cdr:to>
    <cdr:sp>
      <cdr:nvSpPr>
        <cdr:cNvPr id="4" name="CaixaDeTexto 2"/>
        <cdr:cNvSpPr txBox="1">
          <a:spLocks noChangeArrowheads="1"/>
        </cdr:cNvSpPr>
      </cdr:nvSpPr>
      <cdr:spPr>
        <a:xfrm>
          <a:off x="6076950" y="1000125"/>
          <a:ext cx="990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Seguro
</a:t>
          </a:r>
        </a:p>
      </cdr:txBody>
    </cdr:sp>
  </cdr:relSizeAnchor>
  <cdr:relSizeAnchor xmlns:cdr="http://schemas.openxmlformats.org/drawingml/2006/chartDrawing">
    <cdr:from>
      <cdr:x>0.29925</cdr:x>
      <cdr:y>0.0365</cdr:y>
    </cdr:from>
    <cdr:to>
      <cdr:x>0.62625</cdr:x>
      <cdr:y>0.119</cdr:y>
    </cdr:to>
    <cdr:sp>
      <cdr:nvSpPr>
        <cdr:cNvPr id="5" name="CaixaDeTexto 7"/>
        <cdr:cNvSpPr txBox="1">
          <a:spLocks noChangeArrowheads="1"/>
        </cdr:cNvSpPr>
      </cdr:nvSpPr>
      <cdr:spPr>
        <a:xfrm>
          <a:off x="2095500" y="123825"/>
          <a:ext cx="2295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             TBN 11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</cdr:x>
      <cdr:y>0.5815</cdr:y>
    </cdr:from>
    <cdr:to>
      <cdr:x>0.6555</cdr:x>
      <cdr:y>0.67625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809750" y="1914525"/>
          <a:ext cx="2019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    Vendas</a:t>
          </a:r>
        </a:p>
      </cdr:txBody>
    </cdr:sp>
  </cdr:relSizeAnchor>
  <cdr:relSizeAnchor xmlns:cdr="http://schemas.openxmlformats.org/drawingml/2006/chartDrawing">
    <cdr:from>
      <cdr:x>0.86825</cdr:x>
      <cdr:y>0.332</cdr:y>
    </cdr:from>
    <cdr:to>
      <cdr:x>1</cdr:x>
      <cdr:y>0.40675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5076825" y="1085850"/>
          <a:ext cx="828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Seguro
</a:t>
          </a:r>
        </a:p>
      </cdr:txBody>
    </cdr:sp>
  </cdr:relSizeAnchor>
  <cdr:relSizeAnchor xmlns:cdr="http://schemas.openxmlformats.org/drawingml/2006/chartDrawing">
    <cdr:from>
      <cdr:x>0.84825</cdr:x>
      <cdr:y>0.20325</cdr:y>
    </cdr:from>
    <cdr:to>
      <cdr:x>1</cdr:x>
      <cdr:y>0.2745</cdr:y>
    </cdr:to>
    <cdr:sp>
      <cdr:nvSpPr>
        <cdr:cNvPr id="3" name="CaixaDeTexto 3"/>
        <cdr:cNvSpPr txBox="1">
          <a:spLocks noChangeArrowheads="1"/>
        </cdr:cNvSpPr>
      </cdr:nvSpPr>
      <cdr:spPr>
        <a:xfrm>
          <a:off x="4953000" y="666750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Expatriação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161925</xdr:rowOff>
    </xdr:from>
    <xdr:to>
      <xdr:col>7</xdr:col>
      <xdr:colOff>552450</xdr:colOff>
      <xdr:row>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2425"/>
          <a:ext cx="3914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3</xdr:row>
      <xdr:rowOff>19050</xdr:rowOff>
    </xdr:from>
    <xdr:to>
      <xdr:col>12</xdr:col>
      <xdr:colOff>171450</xdr:colOff>
      <xdr:row>9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628650"/>
          <a:ext cx="3762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9525</xdr:colOff>
      <xdr:row>1</xdr:row>
      <xdr:rowOff>38100</xdr:rowOff>
    </xdr:from>
    <xdr:to>
      <xdr:col>48</xdr:col>
      <xdr:colOff>9525</xdr:colOff>
      <xdr:row>18</xdr:row>
      <xdr:rowOff>28575</xdr:rowOff>
    </xdr:to>
    <xdr:graphicFrame>
      <xdr:nvGraphicFramePr>
        <xdr:cNvPr id="3" name="Gráfico 4"/>
        <xdr:cNvGraphicFramePr/>
      </xdr:nvGraphicFramePr>
      <xdr:xfrm>
        <a:off x="31556325" y="228600"/>
        <a:ext cx="701992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200025</xdr:colOff>
      <xdr:row>21</xdr:row>
      <xdr:rowOff>38100</xdr:rowOff>
    </xdr:from>
    <xdr:to>
      <xdr:col>33</xdr:col>
      <xdr:colOff>933450</xdr:colOff>
      <xdr:row>36</xdr:row>
      <xdr:rowOff>66675</xdr:rowOff>
    </xdr:to>
    <xdr:graphicFrame>
      <xdr:nvGraphicFramePr>
        <xdr:cNvPr id="4" name="Gráfico 5"/>
        <xdr:cNvGraphicFramePr/>
      </xdr:nvGraphicFramePr>
      <xdr:xfrm>
        <a:off x="19297650" y="4505325"/>
        <a:ext cx="584835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276225</xdr:colOff>
      <xdr:row>23</xdr:row>
      <xdr:rowOff>95250</xdr:rowOff>
    </xdr:from>
    <xdr:to>
      <xdr:col>27</xdr:col>
      <xdr:colOff>1152525</xdr:colOff>
      <xdr:row>24</xdr:row>
      <xdr:rowOff>114300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19773900" y="5029200"/>
          <a:ext cx="8763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Custos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30</xdr:col>
      <xdr:colOff>257175</xdr:colOff>
      <xdr:row>21</xdr:row>
      <xdr:rowOff>142875</xdr:rowOff>
    </xdr:from>
    <xdr:to>
      <xdr:col>31</xdr:col>
      <xdr:colOff>790575</xdr:colOff>
      <xdr:row>22</xdr:row>
      <xdr:rowOff>180975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22717125" y="4610100"/>
          <a:ext cx="876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Vencimentos</a:t>
          </a:r>
        </a:p>
      </xdr:txBody>
    </xdr:sp>
    <xdr:clientData/>
  </xdr:twoCellAnchor>
  <xdr:twoCellAnchor>
    <xdr:from>
      <xdr:col>31</xdr:col>
      <xdr:colOff>857250</xdr:colOff>
      <xdr:row>23</xdr:row>
      <xdr:rowOff>19050</xdr:rowOff>
    </xdr:from>
    <xdr:to>
      <xdr:col>33</xdr:col>
      <xdr:colOff>257175</xdr:colOff>
      <xdr:row>23</xdr:row>
      <xdr:rowOff>228600</xdr:rowOff>
    </xdr:to>
    <xdr:sp>
      <xdr:nvSpPr>
        <xdr:cNvPr id="7" name="CaixaDeTexto 7"/>
        <xdr:cNvSpPr txBox="1">
          <a:spLocks noChangeArrowheads="1"/>
        </xdr:cNvSpPr>
      </xdr:nvSpPr>
      <xdr:spPr>
        <a:xfrm>
          <a:off x="23660100" y="4953000"/>
          <a:ext cx="8096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Manutenção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9525</xdr:rowOff>
    </xdr:from>
    <xdr:to>
      <xdr:col>14</xdr:col>
      <xdr:colOff>600075</xdr:colOff>
      <xdr:row>23</xdr:row>
      <xdr:rowOff>76200</xdr:rowOff>
    </xdr:to>
    <xdr:graphicFrame>
      <xdr:nvGraphicFramePr>
        <xdr:cNvPr id="1" name="Gráfico 1"/>
        <xdr:cNvGraphicFramePr/>
      </xdr:nvGraphicFramePr>
      <xdr:xfrm>
        <a:off x="5191125" y="200025"/>
        <a:ext cx="7143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X162"/>
  <sheetViews>
    <sheetView showGridLines="0" zoomScale="84" zoomScaleNormal="84" zoomScalePageLayoutView="0" workbookViewId="0" topLeftCell="G28">
      <selection activeCell="AD45" sqref="AD45"/>
    </sheetView>
  </sheetViews>
  <sheetFormatPr defaultColWidth="9.796875" defaultRowHeight="15"/>
  <cols>
    <col min="1" max="1" width="5.796875" style="0" customWidth="1"/>
    <col min="2" max="2" width="7.796875" style="0" customWidth="1"/>
    <col min="3" max="3" width="1.796875" style="0" customWidth="1"/>
    <col min="4" max="4" width="12.8984375" style="0" customWidth="1"/>
    <col min="5" max="5" width="1.796875" style="0" customWidth="1"/>
    <col min="6" max="6" width="9.796875" style="0" customWidth="1"/>
    <col min="7" max="7" width="1.796875" style="0" customWidth="1"/>
    <col min="8" max="8" width="12.8984375" style="0" customWidth="1"/>
    <col min="9" max="9" width="2.3984375" style="0" customWidth="1"/>
    <col min="10" max="10" width="13.09765625" style="0" customWidth="1"/>
    <col min="11" max="11" width="2.3984375" style="0" customWidth="1"/>
    <col min="12" max="12" width="13.59765625" style="0" customWidth="1"/>
    <col min="13" max="13" width="3.19921875" style="0" customWidth="1"/>
    <col min="14" max="14" width="13.3984375" style="0" customWidth="1"/>
    <col min="15" max="15" width="4.19921875" style="0" customWidth="1"/>
    <col min="16" max="16" width="14.59765625" style="0" customWidth="1"/>
    <col min="17" max="17" width="3.19921875" style="0" customWidth="1"/>
    <col min="18" max="18" width="13.19921875" style="0" customWidth="1"/>
    <col min="19" max="19" width="1.390625" style="0" customWidth="1"/>
    <col min="20" max="20" width="15" style="0" customWidth="1"/>
    <col min="21" max="21" width="1.796875" style="0" customWidth="1"/>
    <col min="22" max="22" width="12.796875" style="0" bestFit="1" customWidth="1"/>
    <col min="23" max="23" width="1.796875" style="0" customWidth="1"/>
    <col min="24" max="24" width="13.8984375" style="0" customWidth="1"/>
    <col min="25" max="25" width="2.796875" style="0" customWidth="1"/>
    <col min="26" max="26" width="13.09765625" style="0" customWidth="1"/>
    <col min="27" max="27" width="4.19921875" style="0" customWidth="1"/>
    <col min="28" max="28" width="15.69921875" style="0" bestFit="1" customWidth="1"/>
    <col min="29" max="29" width="1.796875" style="0" customWidth="1"/>
    <col min="30" max="30" width="13.59765625" style="0" customWidth="1"/>
    <col min="31" max="31" width="3.59765625" style="0" customWidth="1"/>
    <col min="32" max="32" width="13" style="0" customWidth="1"/>
    <col min="33" max="33" width="1.796875" style="0" customWidth="1"/>
    <col min="34" max="34" width="12.796875" style="0" bestFit="1" customWidth="1"/>
    <col min="35" max="35" width="1.796875" style="0" customWidth="1"/>
    <col min="36" max="36" width="14" style="0" customWidth="1"/>
    <col min="37" max="37" width="1.796875" style="0" customWidth="1"/>
    <col min="38" max="38" width="12.8984375" style="0" customWidth="1"/>
    <col min="39" max="41" width="9.796875" style="0" customWidth="1"/>
    <col min="42" max="42" width="0" style="0" hidden="1" customWidth="1"/>
    <col min="43" max="43" width="4.296875" style="0" customWidth="1"/>
    <col min="44" max="44" width="18.296875" style="0" customWidth="1"/>
    <col min="45" max="45" width="13.3984375" style="0" customWidth="1"/>
    <col min="46" max="46" width="9.796875" style="0" customWidth="1"/>
    <col min="47" max="47" width="15.3984375" style="0" customWidth="1"/>
    <col min="48" max="48" width="16.796875" style="0" customWidth="1"/>
    <col min="49" max="49" width="16.09765625" style="0" customWidth="1"/>
  </cols>
  <sheetData>
    <row r="2" spans="2:42" ht="1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P2" s="86"/>
      <c r="Q2" s="87"/>
      <c r="R2" s="87"/>
      <c r="S2" s="87"/>
      <c r="T2" s="87"/>
      <c r="U2" s="87"/>
      <c r="V2" s="87"/>
      <c r="W2" s="88"/>
      <c r="X2" s="86"/>
      <c r="Y2" s="87"/>
      <c r="Z2" s="87"/>
      <c r="AA2" s="87"/>
      <c r="AB2" s="87"/>
      <c r="AC2" s="87"/>
      <c r="AD2" s="87"/>
      <c r="AE2" s="87"/>
      <c r="AF2" s="88"/>
      <c r="AH2" s="86"/>
      <c r="AI2" s="87"/>
      <c r="AJ2" s="87"/>
      <c r="AK2" s="87"/>
      <c r="AL2" s="87"/>
      <c r="AM2" s="87"/>
      <c r="AN2" s="87"/>
      <c r="AO2" s="88"/>
      <c r="AP2" s="88"/>
    </row>
    <row r="3" spans="1:50" ht="18">
      <c r="A3" s="1" t="s">
        <v>0</v>
      </c>
      <c r="B3" s="89"/>
      <c r="C3" s="90"/>
      <c r="D3" s="91"/>
      <c r="E3" s="90"/>
      <c r="F3" s="90"/>
      <c r="G3" s="90"/>
      <c r="H3" s="90"/>
      <c r="I3" s="90"/>
      <c r="J3" s="90"/>
      <c r="K3" s="90"/>
      <c r="L3" s="90"/>
      <c r="M3" s="92"/>
      <c r="P3" s="89"/>
      <c r="Q3" s="119" t="s">
        <v>85</v>
      </c>
      <c r="R3" s="118"/>
      <c r="S3" s="118"/>
      <c r="T3" s="118"/>
      <c r="U3" s="90"/>
      <c r="V3" s="90"/>
      <c r="W3" s="92"/>
      <c r="X3" s="89"/>
      <c r="Y3" s="90"/>
      <c r="Z3" s="119" t="s">
        <v>100</v>
      </c>
      <c r="AA3" s="118"/>
      <c r="AB3" s="118"/>
      <c r="AC3" s="90"/>
      <c r="AD3" s="90"/>
      <c r="AE3" s="90"/>
      <c r="AF3" s="92"/>
      <c r="AH3" s="89"/>
      <c r="AI3" s="90"/>
      <c r="AJ3" s="119" t="s">
        <v>114</v>
      </c>
      <c r="AK3" s="118"/>
      <c r="AL3" s="118"/>
      <c r="AM3" s="90"/>
      <c r="AN3" s="90"/>
      <c r="AO3" s="92"/>
      <c r="AP3" s="92"/>
      <c r="AV3" s="1" t="s">
        <v>1</v>
      </c>
      <c r="AX3" s="1"/>
    </row>
    <row r="4" spans="2:50" ht="15"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2"/>
      <c r="P4" s="96"/>
      <c r="Q4" s="97"/>
      <c r="R4" s="97"/>
      <c r="S4" s="97"/>
      <c r="T4" s="167" t="s">
        <v>142</v>
      </c>
      <c r="U4" s="97"/>
      <c r="V4" s="97"/>
      <c r="W4" s="98"/>
      <c r="X4" s="96"/>
      <c r="Y4" s="97"/>
      <c r="Z4" s="97"/>
      <c r="AA4" s="97"/>
      <c r="AB4" s="97"/>
      <c r="AC4" s="97"/>
      <c r="AD4" s="97"/>
      <c r="AE4" s="97"/>
      <c r="AF4" s="98"/>
      <c r="AH4" s="96"/>
      <c r="AI4" s="97"/>
      <c r="AJ4" s="97"/>
      <c r="AK4" s="97"/>
      <c r="AL4" s="97"/>
      <c r="AM4" s="97"/>
      <c r="AN4" s="97"/>
      <c r="AO4" s="98"/>
      <c r="AP4" s="98"/>
      <c r="AV4" s="1" t="s">
        <v>2</v>
      </c>
      <c r="AX4" s="1"/>
    </row>
    <row r="5" spans="2:50" ht="15.75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2"/>
      <c r="P5" s="96"/>
      <c r="Q5" s="97"/>
      <c r="R5" s="102" t="s">
        <v>89</v>
      </c>
      <c r="S5" s="102"/>
      <c r="T5" s="163">
        <v>365</v>
      </c>
      <c r="U5" s="97"/>
      <c r="V5" s="97" t="s">
        <v>90</v>
      </c>
      <c r="W5" s="98"/>
      <c r="X5" s="113"/>
      <c r="Z5" s="97" t="s">
        <v>94</v>
      </c>
      <c r="AA5" s="97"/>
      <c r="AB5" s="105">
        <f>T9*T10</f>
        <v>4125000</v>
      </c>
      <c r="AC5" s="97"/>
      <c r="AD5" s="97" t="s">
        <v>91</v>
      </c>
      <c r="AE5" s="97"/>
      <c r="AF5" s="98"/>
      <c r="AH5" s="89"/>
      <c r="AI5" s="97"/>
      <c r="AJ5" s="97" t="s">
        <v>115</v>
      </c>
      <c r="AK5" s="97"/>
      <c r="AL5" s="214">
        <v>220</v>
      </c>
      <c r="AM5" s="97" t="s">
        <v>103</v>
      </c>
      <c r="AO5" s="98"/>
      <c r="AP5" s="98"/>
      <c r="AV5" s="1"/>
      <c r="AX5" s="1"/>
    </row>
    <row r="6" spans="2:50" ht="15.75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2"/>
      <c r="P6" s="96"/>
      <c r="Q6" s="97"/>
      <c r="R6" s="102" t="s">
        <v>86</v>
      </c>
      <c r="S6" s="102"/>
      <c r="T6" s="163">
        <f>10</f>
        <v>10</v>
      </c>
      <c r="U6" s="97"/>
      <c r="V6" s="97" t="s">
        <v>90</v>
      </c>
      <c r="W6" s="98"/>
      <c r="X6" s="96"/>
      <c r="Y6" s="97"/>
      <c r="Z6" s="97" t="s">
        <v>92</v>
      </c>
      <c r="AA6" s="97"/>
      <c r="AB6" s="164">
        <v>1.23456798</v>
      </c>
      <c r="AC6" s="97"/>
      <c r="AD6" s="97" t="s">
        <v>93</v>
      </c>
      <c r="AE6" s="97"/>
      <c r="AF6" s="98"/>
      <c r="AH6" s="96"/>
      <c r="AI6" s="97"/>
      <c r="AJ6" s="97" t="s">
        <v>117</v>
      </c>
      <c r="AK6" s="97"/>
      <c r="AL6" s="166">
        <v>15</v>
      </c>
      <c r="AM6" s="97" t="s">
        <v>119</v>
      </c>
      <c r="AO6" s="98"/>
      <c r="AP6" s="98"/>
      <c r="AV6" s="1"/>
      <c r="AX6" s="1"/>
    </row>
    <row r="7" spans="2:50" ht="15.75"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2"/>
      <c r="P7" s="96"/>
      <c r="Q7" s="97"/>
      <c r="R7" s="102" t="s">
        <v>96</v>
      </c>
      <c r="S7" s="90"/>
      <c r="T7" s="115">
        <v>50</v>
      </c>
      <c r="U7" s="97"/>
      <c r="V7" s="97" t="s">
        <v>90</v>
      </c>
      <c r="W7" s="98"/>
      <c r="X7" s="96"/>
      <c r="Y7" s="97"/>
      <c r="Z7" s="97" t="s">
        <v>97</v>
      </c>
      <c r="AA7" s="97"/>
      <c r="AB7" s="105">
        <f>(AB5)-(AB5*AB6%)</f>
        <v>4074074.070825</v>
      </c>
      <c r="AC7" s="97"/>
      <c r="AD7" s="97" t="s">
        <v>91</v>
      </c>
      <c r="AE7" s="97"/>
      <c r="AF7" s="98"/>
      <c r="AH7" s="96"/>
      <c r="AI7" s="97"/>
      <c r="AJ7" s="97" t="s">
        <v>118</v>
      </c>
      <c r="AK7" s="97"/>
      <c r="AL7" s="166">
        <v>6</v>
      </c>
      <c r="AM7" s="97" t="s">
        <v>119</v>
      </c>
      <c r="AO7" s="98"/>
      <c r="AP7" s="98"/>
      <c r="AV7" s="1"/>
      <c r="AX7" s="1"/>
    </row>
    <row r="8" spans="2:50" ht="15.75"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2"/>
      <c r="P8" s="96"/>
      <c r="Q8" s="97"/>
      <c r="R8" s="102" t="s">
        <v>87</v>
      </c>
      <c r="S8" s="102"/>
      <c r="T8" s="163">
        <v>30</v>
      </c>
      <c r="U8" s="97"/>
      <c r="V8" s="97" t="s">
        <v>90</v>
      </c>
      <c r="W8" s="98"/>
      <c r="X8" s="96"/>
      <c r="Y8" s="97"/>
      <c r="Z8" s="97" t="s">
        <v>98</v>
      </c>
      <c r="AA8" s="97"/>
      <c r="AB8" s="105">
        <f>AB7/T10</f>
        <v>14814.814803</v>
      </c>
      <c r="AC8" s="97"/>
      <c r="AD8" s="97" t="s">
        <v>91</v>
      </c>
      <c r="AE8" s="97"/>
      <c r="AF8" s="98"/>
      <c r="AH8" s="96"/>
      <c r="AI8" s="97"/>
      <c r="AJ8" s="97" t="s">
        <v>120</v>
      </c>
      <c r="AK8" s="97"/>
      <c r="AL8" s="166">
        <v>600</v>
      </c>
      <c r="AM8" s="97" t="s">
        <v>103</v>
      </c>
      <c r="AO8" s="98"/>
      <c r="AP8" s="98"/>
      <c r="AV8" s="1"/>
      <c r="AX8" s="1"/>
    </row>
    <row r="9" spans="2:50" ht="15.75"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2"/>
      <c r="P9" s="96"/>
      <c r="Q9" s="97"/>
      <c r="R9" s="102" t="s">
        <v>88</v>
      </c>
      <c r="S9" s="102"/>
      <c r="T9" s="163">
        <v>15000</v>
      </c>
      <c r="U9" s="97"/>
      <c r="V9" s="97" t="s">
        <v>91</v>
      </c>
      <c r="W9" s="98"/>
      <c r="X9" s="96"/>
      <c r="Y9" s="97"/>
      <c r="Z9" s="113" t="s">
        <v>144</v>
      </c>
      <c r="AB9" s="212">
        <v>5</v>
      </c>
      <c r="AD9" s="113" t="s">
        <v>143</v>
      </c>
      <c r="AE9" s="97"/>
      <c r="AF9" s="98"/>
      <c r="AH9" s="96"/>
      <c r="AI9" s="97"/>
      <c r="AJ9" s="113" t="s">
        <v>121</v>
      </c>
      <c r="AK9" s="90"/>
      <c r="AL9" s="166">
        <v>200</v>
      </c>
      <c r="AM9" s="97" t="s">
        <v>103</v>
      </c>
      <c r="AO9" s="98"/>
      <c r="AP9" s="98"/>
      <c r="AV9" s="1" t="s">
        <v>3</v>
      </c>
      <c r="AX9" s="1"/>
    </row>
    <row r="10" spans="1:50" ht="15.75">
      <c r="A10" s="3"/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2"/>
      <c r="P10" s="96"/>
      <c r="Q10" s="97"/>
      <c r="R10" s="103" t="s">
        <v>95</v>
      </c>
      <c r="S10" s="97"/>
      <c r="T10" s="6">
        <f>T5-(T6+T7+T8)</f>
        <v>275</v>
      </c>
      <c r="U10" s="97"/>
      <c r="V10" s="97" t="s">
        <v>90</v>
      </c>
      <c r="W10" s="98"/>
      <c r="X10" s="96"/>
      <c r="Y10" s="97"/>
      <c r="Z10" s="113" t="s">
        <v>105</v>
      </c>
      <c r="AA10" s="90"/>
      <c r="AB10" s="104">
        <f>T11*11*30</f>
        <v>825000</v>
      </c>
      <c r="AC10" s="97"/>
      <c r="AD10" s="97" t="s">
        <v>103</v>
      </c>
      <c r="AE10" s="90"/>
      <c r="AF10" s="92"/>
      <c r="AH10" s="96"/>
      <c r="AI10" s="97"/>
      <c r="AJ10" s="97" t="s">
        <v>122</v>
      </c>
      <c r="AK10" s="97"/>
      <c r="AL10" s="166">
        <v>11</v>
      </c>
      <c r="AM10" s="97" t="s">
        <v>119</v>
      </c>
      <c r="AO10" s="92"/>
      <c r="AP10" s="92"/>
      <c r="AV10" s="1" t="s">
        <v>5</v>
      </c>
      <c r="AX10" s="1"/>
    </row>
    <row r="11" spans="2:50" ht="15.75"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P11" s="96"/>
      <c r="Q11" s="97"/>
      <c r="R11" s="97" t="s">
        <v>102</v>
      </c>
      <c r="S11" s="97"/>
      <c r="T11" s="115">
        <v>2500</v>
      </c>
      <c r="U11" s="97"/>
      <c r="V11" s="97" t="s">
        <v>103</v>
      </c>
      <c r="W11" s="98"/>
      <c r="X11" s="96"/>
      <c r="Y11" s="97"/>
      <c r="Z11" s="97" t="s">
        <v>106</v>
      </c>
      <c r="AA11" s="97"/>
      <c r="AB11" s="104">
        <f>T12*AB7</f>
        <v>1018518.51770625</v>
      </c>
      <c r="AC11" s="97"/>
      <c r="AD11" s="97" t="s">
        <v>103</v>
      </c>
      <c r="AE11" s="97"/>
      <c r="AF11" s="98"/>
      <c r="AH11" s="96"/>
      <c r="AI11" s="97"/>
      <c r="AJ11" s="113" t="s">
        <v>123</v>
      </c>
      <c r="AK11" s="90"/>
      <c r="AL11" s="166">
        <v>200</v>
      </c>
      <c r="AM11" s="97" t="s">
        <v>103</v>
      </c>
      <c r="AO11" s="98"/>
      <c r="AP11" s="98"/>
      <c r="AV11" s="1" t="s">
        <v>6</v>
      </c>
      <c r="AX11" s="1"/>
    </row>
    <row r="12" spans="2:50" ht="15.75">
      <c r="B12" s="89"/>
      <c r="C12" s="90"/>
      <c r="D12" s="228" t="s">
        <v>159</v>
      </c>
      <c r="E12" s="229"/>
      <c r="F12" s="229"/>
      <c r="G12" s="229"/>
      <c r="H12" s="229"/>
      <c r="I12" s="229"/>
      <c r="J12" s="230"/>
      <c r="K12" s="90"/>
      <c r="L12" s="90"/>
      <c r="M12" s="92"/>
      <c r="P12" s="96"/>
      <c r="Q12" s="97"/>
      <c r="R12" s="97" t="s">
        <v>104</v>
      </c>
      <c r="S12" s="97"/>
      <c r="T12" s="169">
        <v>0.25</v>
      </c>
      <c r="U12" s="97"/>
      <c r="V12" s="97"/>
      <c r="W12" s="98"/>
      <c r="X12" s="96"/>
      <c r="Y12" s="97"/>
      <c r="Z12" s="113" t="s">
        <v>107</v>
      </c>
      <c r="AA12" s="90"/>
      <c r="AB12" s="104">
        <f>T13*AB7</f>
        <v>814814.814165</v>
      </c>
      <c r="AC12" s="90"/>
      <c r="AD12" s="97" t="s">
        <v>103</v>
      </c>
      <c r="AE12" s="97"/>
      <c r="AF12" s="98"/>
      <c r="AH12" s="96"/>
      <c r="AI12" s="97"/>
      <c r="AJ12" s="97" t="s">
        <v>12</v>
      </c>
      <c r="AK12" s="97"/>
      <c r="AL12" s="214">
        <v>20</v>
      </c>
      <c r="AM12" s="97" t="s">
        <v>51</v>
      </c>
      <c r="AO12" s="98"/>
      <c r="AP12" s="98"/>
      <c r="AV12" s="1"/>
      <c r="AX12" s="1"/>
    </row>
    <row r="13" spans="2:50" ht="15.75">
      <c r="B13" s="89"/>
      <c r="C13" s="90"/>
      <c r="D13" s="231"/>
      <c r="E13" s="232"/>
      <c r="F13" s="232"/>
      <c r="G13" s="232"/>
      <c r="H13" s="232"/>
      <c r="I13" s="232"/>
      <c r="J13" s="233"/>
      <c r="K13" s="90"/>
      <c r="L13" s="90"/>
      <c r="M13" s="92"/>
      <c r="P13" s="96"/>
      <c r="Q13" s="97"/>
      <c r="R13" s="97" t="s">
        <v>99</v>
      </c>
      <c r="S13" s="97"/>
      <c r="T13" s="170">
        <v>0.2</v>
      </c>
      <c r="U13" s="90"/>
      <c r="V13" s="90"/>
      <c r="W13" s="98"/>
      <c r="X13" s="96"/>
      <c r="Y13" s="97"/>
      <c r="Z13" s="113" t="s">
        <v>136</v>
      </c>
      <c r="AA13" s="90"/>
      <c r="AB13" s="104">
        <f>AW27</f>
        <v>74234.16475993821</v>
      </c>
      <c r="AC13" s="90"/>
      <c r="AD13" s="97" t="s">
        <v>103</v>
      </c>
      <c r="AE13" s="97"/>
      <c r="AF13" s="98"/>
      <c r="AH13" s="96"/>
      <c r="AI13" s="97"/>
      <c r="AJ13" s="97" t="s">
        <v>124</v>
      </c>
      <c r="AK13" s="97"/>
      <c r="AL13" s="215">
        <v>2019</v>
      </c>
      <c r="AM13" s="97"/>
      <c r="AO13" s="98"/>
      <c r="AP13" s="98"/>
      <c r="AV13" s="1"/>
      <c r="AX13" s="1"/>
    </row>
    <row r="14" spans="2:50" ht="15.75">
      <c r="B14" s="89"/>
      <c r="C14" s="90"/>
      <c r="D14" s="234"/>
      <c r="E14" s="235"/>
      <c r="F14" s="235"/>
      <c r="G14" s="235"/>
      <c r="H14" s="235"/>
      <c r="I14" s="235"/>
      <c r="J14" s="236"/>
      <c r="K14" s="90"/>
      <c r="L14" s="90"/>
      <c r="M14" s="92"/>
      <c r="P14" s="96"/>
      <c r="Q14" s="97"/>
      <c r="R14" s="97" t="s">
        <v>101</v>
      </c>
      <c r="S14" s="97"/>
      <c r="T14" s="162">
        <v>1.85</v>
      </c>
      <c r="U14" s="97"/>
      <c r="V14" s="97" t="s">
        <v>157</v>
      </c>
      <c r="W14" s="98"/>
      <c r="X14" s="96"/>
      <c r="Y14" s="90"/>
      <c r="Z14" s="97" t="s">
        <v>110</v>
      </c>
      <c r="AA14" s="97"/>
      <c r="AB14" s="104">
        <f>30%*T15</f>
        <v>2261111.109307875</v>
      </c>
      <c r="AC14" s="90"/>
      <c r="AD14" s="97" t="s">
        <v>103</v>
      </c>
      <c r="AE14" s="97"/>
      <c r="AF14" s="98"/>
      <c r="AH14" s="96"/>
      <c r="AI14" s="90"/>
      <c r="AJ14" s="113" t="s">
        <v>125</v>
      </c>
      <c r="AK14" s="118"/>
      <c r="AL14" s="215">
        <v>2011</v>
      </c>
      <c r="AM14" s="97"/>
      <c r="AO14" s="98"/>
      <c r="AP14" s="98"/>
      <c r="AV14" s="1"/>
      <c r="AX14" s="1"/>
    </row>
    <row r="15" spans="2:50" ht="18"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2"/>
      <c r="P15" s="96"/>
      <c r="Q15" s="97"/>
      <c r="R15" s="97" t="s">
        <v>109</v>
      </c>
      <c r="S15" s="97"/>
      <c r="T15" s="210">
        <f>T14*AB7</f>
        <v>7537037.03102625</v>
      </c>
      <c r="U15" s="97"/>
      <c r="V15" s="97" t="s">
        <v>103</v>
      </c>
      <c r="W15" s="98"/>
      <c r="X15" s="96"/>
      <c r="Y15" s="97"/>
      <c r="Z15" s="113" t="s">
        <v>108</v>
      </c>
      <c r="AA15" s="118"/>
      <c r="AB15" s="161">
        <f>SUM(AB10:AB14)</f>
        <v>4993678.605939062</v>
      </c>
      <c r="AC15" s="90"/>
      <c r="AD15" s="97" t="s">
        <v>103</v>
      </c>
      <c r="AE15" s="97"/>
      <c r="AF15" s="98"/>
      <c r="AH15" s="96"/>
      <c r="AI15" s="97"/>
      <c r="AJ15" s="103" t="s">
        <v>129</v>
      </c>
      <c r="AK15" s="90"/>
      <c r="AL15" s="215">
        <v>2013</v>
      </c>
      <c r="AM15" s="97"/>
      <c r="AO15" s="98"/>
      <c r="AP15" s="98"/>
      <c r="AV15" s="1"/>
      <c r="AX15" s="1"/>
    </row>
    <row r="16" spans="2:50" ht="15.75"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2"/>
      <c r="P16" s="96"/>
      <c r="Q16" s="97"/>
      <c r="W16" s="98"/>
      <c r="X16" s="96"/>
      <c r="Y16" s="97"/>
      <c r="Z16" s="103" t="s">
        <v>18</v>
      </c>
      <c r="AB16" s="165">
        <v>1500000</v>
      </c>
      <c r="AD16" s="97" t="s">
        <v>103</v>
      </c>
      <c r="AE16" s="97"/>
      <c r="AF16" s="98"/>
      <c r="AH16" s="96"/>
      <c r="AI16" s="97"/>
      <c r="AO16" s="98"/>
      <c r="AP16" s="98"/>
      <c r="AV16" s="1"/>
      <c r="AX16" s="1"/>
    </row>
    <row r="17" spans="2:50" ht="21" customHeight="1"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P17" s="96"/>
      <c r="Q17" s="97"/>
      <c r="R17" s="133" t="s">
        <v>130</v>
      </c>
      <c r="T17" s="128">
        <f>(AB10+AB11+AB12+AB14)/T5</f>
        <v>13477.929975833218</v>
      </c>
      <c r="V17" s="97" t="s">
        <v>103</v>
      </c>
      <c r="W17" s="98"/>
      <c r="X17" s="96"/>
      <c r="Y17" s="97"/>
      <c r="Z17" s="116" t="s">
        <v>134</v>
      </c>
      <c r="AA17" s="90"/>
      <c r="AB17" s="114">
        <f>T15-(AB15+AB16)</f>
        <v>1043358.4250871874</v>
      </c>
      <c r="AC17" s="97"/>
      <c r="AD17" s="97" t="s">
        <v>103</v>
      </c>
      <c r="AE17" s="97"/>
      <c r="AF17" s="98"/>
      <c r="AH17" s="96"/>
      <c r="AI17" s="97"/>
      <c r="AJ17" s="133" t="s">
        <v>131</v>
      </c>
      <c r="AK17" s="90"/>
      <c r="AL17" s="168">
        <v>12000</v>
      </c>
      <c r="AM17" s="97" t="s">
        <v>133</v>
      </c>
      <c r="AN17" s="134"/>
      <c r="AO17" s="211"/>
      <c r="AP17" s="98" t="s">
        <v>132</v>
      </c>
      <c r="AV17" s="1"/>
      <c r="AX17" s="1"/>
    </row>
    <row r="18" spans="2:50" ht="15"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  <c r="P18" s="99"/>
      <c r="Q18" s="100"/>
      <c r="R18" s="117"/>
      <c r="S18" s="94"/>
      <c r="T18" s="94"/>
      <c r="U18" s="100"/>
      <c r="V18" s="100"/>
      <c r="W18" s="101"/>
      <c r="X18" s="99"/>
      <c r="Y18" s="100"/>
      <c r="Z18" s="94"/>
      <c r="AA18" s="94"/>
      <c r="AB18" s="94"/>
      <c r="AC18" s="100"/>
      <c r="AD18" s="100"/>
      <c r="AE18" s="100"/>
      <c r="AF18" s="101"/>
      <c r="AH18" s="99"/>
      <c r="AI18" s="100"/>
      <c r="AJ18" s="94"/>
      <c r="AK18" s="94"/>
      <c r="AL18" s="94"/>
      <c r="AM18" s="100"/>
      <c r="AN18" s="100"/>
      <c r="AO18" s="101"/>
      <c r="AP18" s="101"/>
      <c r="AV18" s="1"/>
      <c r="AX18" s="1"/>
    </row>
    <row r="19" spans="2:50" ht="15.75">
      <c r="B19" s="5" t="s">
        <v>4</v>
      </c>
      <c r="C19" s="6"/>
      <c r="D19" s="6"/>
      <c r="E19" s="6"/>
      <c r="F19" s="6"/>
      <c r="G19" s="90"/>
      <c r="H19" s="90"/>
      <c r="I19" s="90"/>
      <c r="J19" s="90"/>
      <c r="K19" s="90"/>
      <c r="L19" s="90"/>
      <c r="M19" s="92"/>
      <c r="P19" s="97"/>
      <c r="Q19" s="97"/>
      <c r="R19" s="97"/>
      <c r="S19" s="97"/>
      <c r="T19" s="6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0"/>
      <c r="AH19" s="90"/>
      <c r="AI19" s="90"/>
      <c r="AJ19" s="90"/>
      <c r="AV19" s="1"/>
      <c r="AX19" s="1"/>
    </row>
    <row r="20" spans="2:50" ht="19.5"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  <c r="N20" s="109"/>
      <c r="R20" s="106" t="s">
        <v>7</v>
      </c>
      <c r="S20" s="107"/>
      <c r="T20" s="107"/>
      <c r="U20" s="108"/>
      <c r="V20" s="108"/>
      <c r="W20" s="108"/>
      <c r="X20" s="108"/>
      <c r="Y20" s="108"/>
      <c r="Z20" s="108"/>
      <c r="AA20" s="108"/>
      <c r="AB20" s="108"/>
      <c r="AI20" s="90"/>
      <c r="AJ20" s="90"/>
      <c r="AK20" s="90"/>
      <c r="AL20" s="90"/>
      <c r="AM20" s="90"/>
      <c r="AN20" s="90"/>
      <c r="AO20" s="90"/>
      <c r="AV20" s="2"/>
      <c r="AX20" s="2"/>
    </row>
    <row r="21" spans="2:50" ht="26.25" customHeight="1">
      <c r="B21" s="5" t="s">
        <v>8</v>
      </c>
      <c r="C21" s="6"/>
      <c r="D21" s="6"/>
      <c r="E21" s="6"/>
      <c r="F21" s="6"/>
      <c r="G21" s="84"/>
      <c r="H21" s="85" t="s">
        <v>158</v>
      </c>
      <c r="I21" s="6"/>
      <c r="J21" s="6"/>
      <c r="K21" s="6"/>
      <c r="L21" s="6"/>
      <c r="M21" s="7"/>
      <c r="N21" s="8"/>
      <c r="O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6"/>
      <c r="AJ21" s="225" t="s">
        <v>145</v>
      </c>
      <c r="AK21" s="226"/>
      <c r="AL21" s="226"/>
      <c r="AM21" s="226"/>
      <c r="AN21" s="226"/>
      <c r="AO21" s="227"/>
      <c r="AP21" s="137"/>
      <c r="AR21" s="135"/>
      <c r="AS21" s="136"/>
      <c r="AT21" s="136"/>
      <c r="AU21" s="209" t="s">
        <v>154</v>
      </c>
      <c r="AV21" s="209"/>
      <c r="AW21" s="136"/>
      <c r="AX21" s="137"/>
    </row>
    <row r="22" spans="2:50" ht="15.75">
      <c r="B22" s="5" t="s">
        <v>9</v>
      </c>
      <c r="C22" s="6"/>
      <c r="D22" s="6"/>
      <c r="E22" s="6"/>
      <c r="F22" s="6"/>
      <c r="G22" s="6"/>
      <c r="H22" s="9">
        <v>400</v>
      </c>
      <c r="I22" s="6"/>
      <c r="J22" s="6"/>
      <c r="K22" s="6"/>
      <c r="L22" s="6"/>
      <c r="M22" s="7"/>
      <c r="N22" s="8"/>
      <c r="O22" s="3"/>
      <c r="R22" s="3"/>
      <c r="S22" s="10"/>
      <c r="T22" s="11" t="s">
        <v>10</v>
      </c>
      <c r="U22" s="12"/>
      <c r="V22" s="13" t="s">
        <v>11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6"/>
      <c r="AJ22" s="172"/>
      <c r="AK22" s="173"/>
      <c r="AL22" s="149"/>
      <c r="AM22" s="149"/>
      <c r="AN22" s="149"/>
      <c r="AO22" s="150"/>
      <c r="AP22" s="140"/>
      <c r="AR22" s="138" t="s">
        <v>137</v>
      </c>
      <c r="AS22" s="152">
        <f>H36</f>
        <v>0.07</v>
      </c>
      <c r="AT22" s="139"/>
      <c r="AU22" s="139"/>
      <c r="AV22" s="139"/>
      <c r="AW22" s="139"/>
      <c r="AX22" s="140"/>
    </row>
    <row r="23" spans="2:50" ht="21">
      <c r="B23" s="5" t="s">
        <v>12</v>
      </c>
      <c r="C23" s="6"/>
      <c r="D23" s="6"/>
      <c r="E23" s="6"/>
      <c r="F23" s="6"/>
      <c r="G23" s="6"/>
      <c r="H23" s="9">
        <v>20</v>
      </c>
      <c r="I23" s="6"/>
      <c r="J23" s="6"/>
      <c r="K23" s="6"/>
      <c r="L23" s="6"/>
      <c r="M23" s="7"/>
      <c r="N23" s="8"/>
      <c r="O23" s="3"/>
      <c r="R23" s="3"/>
      <c r="S23" s="3"/>
      <c r="T23" s="14"/>
      <c r="U23" s="15"/>
      <c r="V23" s="16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6"/>
      <c r="AJ23" s="183" t="s">
        <v>151</v>
      </c>
      <c r="AK23" s="182"/>
      <c r="AL23" s="184" t="s">
        <v>149</v>
      </c>
      <c r="AM23" s="185" t="s">
        <v>150</v>
      </c>
      <c r="AN23" s="185" t="s">
        <v>148</v>
      </c>
      <c r="AO23" s="202" t="s">
        <v>152</v>
      </c>
      <c r="AP23" s="140"/>
      <c r="AR23" s="213" t="s">
        <v>155</v>
      </c>
      <c r="AS23" s="153">
        <f>H35</f>
        <v>20</v>
      </c>
      <c r="AT23" s="184">
        <v>2</v>
      </c>
      <c r="AU23" s="139"/>
      <c r="AV23" s="139"/>
      <c r="AW23" s="141"/>
      <c r="AX23" s="140"/>
    </row>
    <row r="24" spans="2:50" ht="18.75">
      <c r="B24" s="5" t="s">
        <v>13</v>
      </c>
      <c r="C24" s="6"/>
      <c r="D24" s="6"/>
      <c r="E24" s="6"/>
      <c r="F24" s="6"/>
      <c r="G24" s="6"/>
      <c r="H24" s="9">
        <v>10</v>
      </c>
      <c r="I24" s="6"/>
      <c r="J24" s="6"/>
      <c r="K24" s="6"/>
      <c r="L24" s="6"/>
      <c r="M24" s="7"/>
      <c r="N24" s="8"/>
      <c r="O24" s="3"/>
      <c r="R24" s="3"/>
      <c r="S24" s="3"/>
      <c r="T24" s="17">
        <v>0.035</v>
      </c>
      <c r="U24" s="18"/>
      <c r="V24" s="19">
        <f aca="true" t="shared" si="0" ref="V24:V47">NPV(T24,$Z$66:$Z$96)</f>
        <v>4792799.11616818</v>
      </c>
      <c r="W24" s="3"/>
      <c r="X24" s="20"/>
      <c r="Y24" s="12"/>
      <c r="Z24" s="21"/>
      <c r="AA24" s="3"/>
      <c r="AB24" s="3"/>
      <c r="AC24" s="3"/>
      <c r="AD24" s="3"/>
      <c r="AE24" s="3"/>
      <c r="AF24" s="3"/>
      <c r="AG24" s="3"/>
      <c r="AH24" s="3"/>
      <c r="AI24" s="6"/>
      <c r="AJ24" s="180" t="s">
        <v>146</v>
      </c>
      <c r="AK24" s="171"/>
      <c r="AL24" s="193">
        <f>185*1865*24/1000</f>
        <v>8280.6</v>
      </c>
      <c r="AM24" s="192">
        <f>AL24/24</f>
        <v>345.02500000000003</v>
      </c>
      <c r="AN24" s="194">
        <v>5</v>
      </c>
      <c r="AO24" s="199">
        <v>19</v>
      </c>
      <c r="AP24" s="140"/>
      <c r="AR24" s="142"/>
      <c r="AS24" s="139"/>
      <c r="AT24" s="139"/>
      <c r="AU24" s="139"/>
      <c r="AV24" s="139"/>
      <c r="AW24" s="143"/>
      <c r="AX24" s="140"/>
    </row>
    <row r="25" spans="2:50" ht="15.75">
      <c r="B25" s="5" t="s">
        <v>14</v>
      </c>
      <c r="C25" s="6"/>
      <c r="D25" s="6"/>
      <c r="E25" s="6"/>
      <c r="F25" s="6"/>
      <c r="G25" s="6"/>
      <c r="H25" s="124">
        <v>1500000</v>
      </c>
      <c r="I25" s="6"/>
      <c r="J25" s="22" t="s">
        <v>15</v>
      </c>
      <c r="K25" s="6"/>
      <c r="L25" s="6"/>
      <c r="M25" s="7"/>
      <c r="N25" s="8"/>
      <c r="O25" s="3"/>
      <c r="R25" s="3"/>
      <c r="S25" s="3"/>
      <c r="T25" s="23">
        <v>0.04</v>
      </c>
      <c r="U25" s="6"/>
      <c r="V25" s="24">
        <f t="shared" si="0"/>
        <v>4438771.129402926</v>
      </c>
      <c r="W25" s="3"/>
      <c r="X25" s="25"/>
      <c r="Y25" s="26"/>
      <c r="Z25" s="27"/>
      <c r="AA25" s="3"/>
      <c r="AB25" s="3"/>
      <c r="AC25" s="3"/>
      <c r="AD25" s="3"/>
      <c r="AE25" s="3"/>
      <c r="AF25" s="3"/>
      <c r="AG25" s="3"/>
      <c r="AH25" s="3"/>
      <c r="AI25" s="6"/>
      <c r="AJ25" s="198" t="s">
        <v>147</v>
      </c>
      <c r="AK25" s="190"/>
      <c r="AL25" s="196">
        <f>145*250*24/1000</f>
        <v>870</v>
      </c>
      <c r="AM25" s="197">
        <f>AL25/24</f>
        <v>36.25</v>
      </c>
      <c r="AN25" s="195">
        <v>5</v>
      </c>
      <c r="AO25" s="199">
        <v>19</v>
      </c>
      <c r="AP25" s="140"/>
      <c r="AR25" s="142"/>
      <c r="AS25" s="139"/>
      <c r="AT25" s="139"/>
      <c r="AU25" s="144"/>
      <c r="AV25" s="139"/>
      <c r="AW25" s="144" t="s">
        <v>139</v>
      </c>
      <c r="AX25" s="140"/>
    </row>
    <row r="26" spans="2:50" ht="15.75">
      <c r="B26" s="5" t="s">
        <v>16</v>
      </c>
      <c r="C26" s="6"/>
      <c r="D26" s="6"/>
      <c r="E26" s="6"/>
      <c r="F26" s="6"/>
      <c r="G26" s="6"/>
      <c r="H26" s="124">
        <f>10%*H25</f>
        <v>150000</v>
      </c>
      <c r="I26" s="6"/>
      <c r="J26" s="28" t="str">
        <f>J25</f>
        <v>EUR</v>
      </c>
      <c r="K26" s="6"/>
      <c r="L26" s="6"/>
      <c r="M26" s="7"/>
      <c r="N26" s="8"/>
      <c r="O26" s="3"/>
      <c r="R26" s="3"/>
      <c r="S26" s="3"/>
      <c r="T26" s="23">
        <v>0.045</v>
      </c>
      <c r="U26" s="6"/>
      <c r="V26" s="24">
        <f t="shared" si="0"/>
        <v>4109304.989027071</v>
      </c>
      <c r="W26" s="3"/>
      <c r="X26" s="29" t="s">
        <v>17</v>
      </c>
      <c r="Y26" s="26"/>
      <c r="Z26" s="30">
        <f>IRR(Z66:Z96,AB57)</f>
        <v>0.18490383911240005</v>
      </c>
      <c r="AA26" s="3"/>
      <c r="AB26" s="3"/>
      <c r="AC26" s="3"/>
      <c r="AD26" s="3"/>
      <c r="AE26" s="3"/>
      <c r="AF26" s="3"/>
      <c r="AG26" s="3"/>
      <c r="AH26" s="3"/>
      <c r="AI26" s="6"/>
      <c r="AJ26" s="186"/>
      <c r="AL26" s="186"/>
      <c r="AM26" s="188"/>
      <c r="AN26" s="178"/>
      <c r="AO26" s="175"/>
      <c r="AP26" s="140"/>
      <c r="AR26" s="145" t="s">
        <v>140</v>
      </c>
      <c r="AS26" s="144" t="s">
        <v>22</v>
      </c>
      <c r="AT26" s="139"/>
      <c r="AU26" s="144" t="s">
        <v>141</v>
      </c>
      <c r="AV26" s="139"/>
      <c r="AW26" s="146" t="s">
        <v>138</v>
      </c>
      <c r="AX26" s="140"/>
    </row>
    <row r="27" spans="2:50" ht="18.75" customHeight="1">
      <c r="B27" s="5" t="s">
        <v>18</v>
      </c>
      <c r="C27" s="6"/>
      <c r="D27" s="6"/>
      <c r="E27" s="6"/>
      <c r="F27" s="6"/>
      <c r="G27" s="6"/>
      <c r="H27" s="124">
        <f>AB16</f>
        <v>1500000</v>
      </c>
      <c r="I27" s="6"/>
      <c r="J27" s="28" t="str">
        <f>J25</f>
        <v>EUR</v>
      </c>
      <c r="K27" s="6"/>
      <c r="L27" s="6"/>
      <c r="M27" s="7"/>
      <c r="N27" s="8"/>
      <c r="O27" s="3"/>
      <c r="R27" s="3"/>
      <c r="S27" s="3"/>
      <c r="T27" s="23">
        <v>0.05</v>
      </c>
      <c r="U27" s="6"/>
      <c r="V27" s="24">
        <f t="shared" si="0"/>
        <v>3802424.9845391754</v>
      </c>
      <c r="W27" s="3"/>
      <c r="X27" s="25"/>
      <c r="Y27" s="26"/>
      <c r="Z27" s="27"/>
      <c r="AA27" s="3"/>
      <c r="AB27" s="3"/>
      <c r="AC27" s="3"/>
      <c r="AD27" s="3"/>
      <c r="AE27" s="3"/>
      <c r="AF27" s="3"/>
      <c r="AG27" s="3"/>
      <c r="AH27" s="3"/>
      <c r="AI27" s="6"/>
      <c r="AJ27" s="180" t="s">
        <v>146</v>
      </c>
      <c r="AK27" s="191"/>
      <c r="AL27" s="181"/>
      <c r="AM27" s="200"/>
      <c r="AN27" s="207">
        <f>AM24*AN24</f>
        <v>1725.1250000000002</v>
      </c>
      <c r="AO27" s="201"/>
      <c r="AP27" s="140"/>
      <c r="AR27" s="154">
        <f>H25+H27</f>
        <v>3000000</v>
      </c>
      <c r="AS27" s="159">
        <f>AR27*(1+$AS$22/$AT$23)^$AS$23</f>
        <v>5969366.590397528</v>
      </c>
      <c r="AT27" s="147"/>
      <c r="AU27" s="160">
        <f>AS27-AR27</f>
        <v>2969366.5903975284</v>
      </c>
      <c r="AV27" s="147"/>
      <c r="AW27" s="160">
        <f>AU27/AS23/2</f>
        <v>74234.16475993821</v>
      </c>
      <c r="AX27" s="140"/>
    </row>
    <row r="28" spans="2:50" ht="21" customHeight="1"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8"/>
      <c r="O28" s="3"/>
      <c r="R28" s="3"/>
      <c r="S28" s="3"/>
      <c r="T28" s="23">
        <v>0.055</v>
      </c>
      <c r="U28" s="6"/>
      <c r="V28" s="24">
        <f t="shared" si="0"/>
        <v>3516332.5730608343</v>
      </c>
      <c r="W28" s="3"/>
      <c r="X28" s="14"/>
      <c r="Y28" s="31"/>
      <c r="Z28" s="32"/>
      <c r="AA28" s="3"/>
      <c r="AB28" s="3"/>
      <c r="AC28" s="3"/>
      <c r="AD28" s="3"/>
      <c r="AE28" s="3"/>
      <c r="AF28" s="3"/>
      <c r="AG28" s="3"/>
      <c r="AH28" s="3"/>
      <c r="AI28" s="6"/>
      <c r="AJ28" s="198" t="s">
        <v>147</v>
      </c>
      <c r="AK28" s="176"/>
      <c r="AL28" s="179"/>
      <c r="AM28" s="189"/>
      <c r="AN28" s="206">
        <f>AM25*(AN25+AO25)*1.25</f>
        <v>1087.5</v>
      </c>
      <c r="AO28" s="177"/>
      <c r="AP28" s="140"/>
      <c r="AR28" s="142"/>
      <c r="AS28" s="139"/>
      <c r="AT28" s="139"/>
      <c r="AU28" s="139"/>
      <c r="AV28" s="156"/>
      <c r="AW28" s="158" t="s">
        <v>156</v>
      </c>
      <c r="AX28" s="140"/>
    </row>
    <row r="29" spans="2:50" ht="15.75">
      <c r="B29" s="5" t="s">
        <v>19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"/>
      <c r="O29" s="3"/>
      <c r="R29" s="3"/>
      <c r="S29" s="3"/>
      <c r="T29" s="23">
        <v>0.06</v>
      </c>
      <c r="U29" s="6"/>
      <c r="V29" s="24">
        <f t="shared" si="0"/>
        <v>3249389.14854765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6"/>
      <c r="AJ29" s="178"/>
      <c r="AK29" s="151"/>
      <c r="AL29" s="178"/>
      <c r="AM29" s="187"/>
      <c r="AN29" s="180"/>
      <c r="AO29" s="174"/>
      <c r="AP29" s="140"/>
      <c r="AR29" s="142"/>
      <c r="AS29" s="139"/>
      <c r="AT29" s="139"/>
      <c r="AU29" s="139"/>
      <c r="AV29" s="157"/>
      <c r="AW29" s="160">
        <f>AW27/12</f>
        <v>6186.180396661518</v>
      </c>
      <c r="AX29" s="140"/>
    </row>
    <row r="30" spans="2:50" ht="15.75">
      <c r="B30" s="8"/>
      <c r="C30" s="6"/>
      <c r="D30" s="28" t="s">
        <v>20</v>
      </c>
      <c r="E30" s="6"/>
      <c r="F30" s="6"/>
      <c r="G30" s="6"/>
      <c r="H30" s="33">
        <v>0.2</v>
      </c>
      <c r="I30" s="6"/>
      <c r="J30" s="6"/>
      <c r="K30" s="6"/>
      <c r="L30" s="6"/>
      <c r="M30" s="7"/>
      <c r="N30" s="8"/>
      <c r="O30" s="3"/>
      <c r="R30" s="3"/>
      <c r="S30" s="3"/>
      <c r="T30" s="23">
        <v>0.065</v>
      </c>
      <c r="U30" s="6"/>
      <c r="V30" s="24">
        <f t="shared" si="0"/>
        <v>3000100.5989441494</v>
      </c>
      <c r="W30" s="3"/>
      <c r="X30" s="3" t="s">
        <v>135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6"/>
      <c r="AJ30" s="204" t="s">
        <v>153</v>
      </c>
      <c r="AK30" s="176"/>
      <c r="AL30" s="205">
        <f>SUM(AN27:AN28)</f>
        <v>2812.625</v>
      </c>
      <c r="AM30" s="203" t="s">
        <v>43</v>
      </c>
      <c r="AN30" s="208"/>
      <c r="AO30" s="177"/>
      <c r="AP30" s="150"/>
      <c r="AR30" s="148"/>
      <c r="AS30" s="149"/>
      <c r="AT30" s="149"/>
      <c r="AU30" s="149"/>
      <c r="AV30" s="149"/>
      <c r="AW30" s="149"/>
      <c r="AX30" s="150"/>
    </row>
    <row r="31" spans="2:48" ht="15.75">
      <c r="B31" s="8"/>
      <c r="C31" s="6"/>
      <c r="D31" s="28" t="s">
        <v>21</v>
      </c>
      <c r="E31" s="6"/>
      <c r="F31" s="6"/>
      <c r="G31" s="6"/>
      <c r="H31" s="34">
        <f>1-H30</f>
        <v>0.8</v>
      </c>
      <c r="I31" s="6"/>
      <c r="J31" s="6"/>
      <c r="K31" s="6"/>
      <c r="L31" s="6"/>
      <c r="M31" s="7"/>
      <c r="N31" s="8"/>
      <c r="O31" s="3"/>
      <c r="R31" s="3"/>
      <c r="S31" s="3"/>
      <c r="T31" s="23">
        <v>0.07</v>
      </c>
      <c r="U31" s="6"/>
      <c r="V31" s="24">
        <f t="shared" si="0"/>
        <v>2767103.4553844375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6"/>
      <c r="AJ31" s="6"/>
      <c r="AK31" s="6"/>
      <c r="AL31" s="6"/>
      <c r="AM31" s="6"/>
      <c r="AN31" s="90"/>
      <c r="AO31" s="90"/>
      <c r="AV31" s="1"/>
    </row>
    <row r="32" spans="2:48" ht="15.75"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8"/>
      <c r="O32" s="3"/>
      <c r="R32" s="3"/>
      <c r="S32" s="3"/>
      <c r="T32" s="23">
        <f aca="true" t="shared" si="1" ref="T32:T47">T31+0.005</f>
        <v>0.07500000000000001</v>
      </c>
      <c r="U32" s="6"/>
      <c r="V32" s="24">
        <f t="shared" si="0"/>
        <v>2549152.460046681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V32" s="1"/>
    </row>
    <row r="33" spans="2:48" ht="15.75">
      <c r="B33" s="5" t="s">
        <v>111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8"/>
      <c r="O33" s="3"/>
      <c r="R33" s="3"/>
      <c r="S33" s="3"/>
      <c r="T33" s="23">
        <f t="shared" si="1"/>
        <v>0.08000000000000002</v>
      </c>
      <c r="U33" s="6"/>
      <c r="V33" s="24">
        <f t="shared" si="0"/>
        <v>2345109.3990770383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V33" s="1"/>
    </row>
    <row r="34" spans="2:48" ht="20.25">
      <c r="B34" s="8"/>
      <c r="C34" s="6"/>
      <c r="D34" s="28" t="s">
        <v>22</v>
      </c>
      <c r="E34" s="6"/>
      <c r="F34" s="6"/>
      <c r="G34" s="6"/>
      <c r="H34" s="121">
        <f>H25*H31</f>
        <v>1200000</v>
      </c>
      <c r="I34" s="6"/>
      <c r="J34" s="35" t="str">
        <f>J25</f>
        <v>EUR</v>
      </c>
      <c r="K34" s="6"/>
      <c r="L34" s="6"/>
      <c r="M34" s="7"/>
      <c r="N34" s="8"/>
      <c r="O34" s="3"/>
      <c r="R34" s="3"/>
      <c r="S34" s="3"/>
      <c r="T34" s="23">
        <f t="shared" si="1"/>
        <v>0.08500000000000002</v>
      </c>
      <c r="U34" s="6"/>
      <c r="V34" s="24">
        <f t="shared" si="0"/>
        <v>2153933.0644460227</v>
      </c>
      <c r="W34" s="3"/>
      <c r="X34" s="3"/>
      <c r="Y34" s="3"/>
      <c r="Z34" s="15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V34" s="1"/>
    </row>
    <row r="35" spans="2:48" ht="15.75">
      <c r="B35" s="8"/>
      <c r="C35" s="6"/>
      <c r="D35" s="28" t="s">
        <v>23</v>
      </c>
      <c r="E35" s="6"/>
      <c r="F35" s="6"/>
      <c r="G35" s="6"/>
      <c r="H35" s="9">
        <v>20</v>
      </c>
      <c r="I35" s="6"/>
      <c r="J35" s="6"/>
      <c r="K35" s="6"/>
      <c r="L35" s="6"/>
      <c r="M35" s="7"/>
      <c r="N35" s="8"/>
      <c r="O35" s="3"/>
      <c r="R35" s="3"/>
      <c r="S35" s="3"/>
      <c r="T35" s="23">
        <f t="shared" si="1"/>
        <v>0.09000000000000002</v>
      </c>
      <c r="U35" s="6"/>
      <c r="V35" s="24">
        <f t="shared" si="0"/>
        <v>1974670.2239775883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V35" s="1"/>
    </row>
    <row r="36" spans="2:48" ht="15.75">
      <c r="B36" s="8"/>
      <c r="C36" s="6"/>
      <c r="D36" s="28" t="s">
        <v>24</v>
      </c>
      <c r="E36" s="6"/>
      <c r="F36" s="6"/>
      <c r="G36" s="6"/>
      <c r="H36" s="33">
        <v>0.07</v>
      </c>
      <c r="I36" s="6"/>
      <c r="J36" s="6"/>
      <c r="K36" s="6"/>
      <c r="L36" s="6"/>
      <c r="M36" s="7"/>
      <c r="N36" s="8"/>
      <c r="O36" s="3"/>
      <c r="R36" s="3"/>
      <c r="S36" s="3"/>
      <c r="T36" s="23">
        <f t="shared" si="1"/>
        <v>0.09500000000000003</v>
      </c>
      <c r="U36" s="6"/>
      <c r="V36" s="24">
        <f t="shared" si="0"/>
        <v>1806447.4923560293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V36" s="1"/>
    </row>
    <row r="37" spans="2:48" ht="15.75"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8"/>
      <c r="O37" s="3"/>
      <c r="R37" s="3"/>
      <c r="S37" s="3"/>
      <c r="T37" s="23">
        <f t="shared" si="1"/>
        <v>0.10000000000000003</v>
      </c>
      <c r="U37" s="6"/>
      <c r="V37" s="24">
        <f t="shared" si="0"/>
        <v>1648464.0078882389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V37" s="1"/>
    </row>
    <row r="38" spans="2:48" ht="15.75">
      <c r="B38" s="5" t="s">
        <v>25</v>
      </c>
      <c r="C38" s="6"/>
      <c r="D38" s="6"/>
      <c r="E38" s="6"/>
      <c r="F38" s="6"/>
      <c r="G38" s="6"/>
      <c r="H38" s="3"/>
      <c r="I38" s="6"/>
      <c r="J38" s="28" t="str">
        <f>J25</f>
        <v>EUR</v>
      </c>
      <c r="K38" s="6"/>
      <c r="L38" s="3"/>
      <c r="M38" s="7"/>
      <c r="N38" s="8"/>
      <c r="O38" s="3"/>
      <c r="R38" s="3"/>
      <c r="S38" s="3"/>
      <c r="T38" s="23">
        <f t="shared" si="1"/>
        <v>0.10500000000000004</v>
      </c>
      <c r="U38" s="6"/>
      <c r="V38" s="24">
        <f t="shared" si="0"/>
        <v>1499984.8303752164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V38" s="1"/>
    </row>
    <row r="39" spans="2:39" ht="15.75">
      <c r="B39" s="8"/>
      <c r="C39" s="6"/>
      <c r="D39" s="28" t="s">
        <v>113</v>
      </c>
      <c r="E39" s="6"/>
      <c r="F39" s="6"/>
      <c r="G39" s="6"/>
      <c r="H39" s="9">
        <f>(AB11/2)+(365*200*17)/2</f>
        <v>1129759.258853125</v>
      </c>
      <c r="I39" s="6"/>
      <c r="J39" s="6"/>
      <c r="K39" s="6"/>
      <c r="L39" s="6"/>
      <c r="M39" s="7"/>
      <c r="N39" s="8"/>
      <c r="O39" s="3"/>
      <c r="R39" s="3"/>
      <c r="S39" s="3"/>
      <c r="T39" s="23">
        <f t="shared" si="1"/>
        <v>0.11000000000000004</v>
      </c>
      <c r="U39" s="6"/>
      <c r="V39" s="24">
        <f t="shared" si="0"/>
        <v>1360334.9847947026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.75">
      <c r="B40" s="8"/>
      <c r="C40" s="6"/>
      <c r="D40" s="28" t="s">
        <v>104</v>
      </c>
      <c r="E40" s="6"/>
      <c r="F40" s="6"/>
      <c r="G40" s="6"/>
      <c r="H40" s="9">
        <f>AB12/2</f>
        <v>407407.4070825</v>
      </c>
      <c r="I40" s="6"/>
      <c r="J40" s="6"/>
      <c r="K40" s="6"/>
      <c r="L40" s="6"/>
      <c r="M40" s="7"/>
      <c r="N40" s="8"/>
      <c r="O40" s="3"/>
      <c r="R40" s="3"/>
      <c r="S40" s="3"/>
      <c r="T40" s="23">
        <f t="shared" si="1"/>
        <v>0.11500000000000005</v>
      </c>
      <c r="U40" s="6"/>
      <c r="V40" s="24">
        <f t="shared" si="0"/>
        <v>1228894.083766467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.75">
      <c r="B41" s="8"/>
      <c r="C41" s="6"/>
      <c r="D41" s="28" t="s">
        <v>116</v>
      </c>
      <c r="E41" s="6"/>
      <c r="F41" s="6"/>
      <c r="G41" s="6"/>
      <c r="H41" s="9">
        <f>6*4*600/2</f>
        <v>7200</v>
      </c>
      <c r="I41" s="6"/>
      <c r="J41" s="6"/>
      <c r="K41" s="6"/>
      <c r="L41" s="3"/>
      <c r="M41" s="7"/>
      <c r="N41" s="8"/>
      <c r="O41" s="3"/>
      <c r="R41" s="3"/>
      <c r="S41" s="3"/>
      <c r="T41" s="23">
        <f t="shared" si="1"/>
        <v>0.12000000000000005</v>
      </c>
      <c r="U41" s="6"/>
      <c r="V41" s="24">
        <f t="shared" si="0"/>
        <v>1105091.4690910238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.75">
      <c r="B42" s="8"/>
      <c r="C42" s="6"/>
      <c r="D42" s="28" t="s">
        <v>112</v>
      </c>
      <c r="E42" s="6"/>
      <c r="F42" s="6"/>
      <c r="G42" s="6"/>
      <c r="H42" s="9">
        <f>95000/2</f>
        <v>47500</v>
      </c>
      <c r="I42" s="6"/>
      <c r="J42" s="36" t="s">
        <v>27</v>
      </c>
      <c r="K42" s="6"/>
      <c r="L42" s="122">
        <f>SUM(H39:H42)</f>
        <v>1591866.6659356249</v>
      </c>
      <c r="M42" s="7"/>
      <c r="N42" s="8"/>
      <c r="O42" s="3"/>
      <c r="R42" s="3"/>
      <c r="S42" s="3"/>
      <c r="T42" s="23">
        <f t="shared" si="1"/>
        <v>0.12500000000000006</v>
      </c>
      <c r="U42" s="6"/>
      <c r="V42" s="24">
        <f t="shared" si="0"/>
        <v>988401.8191365765</v>
      </c>
      <c r="W42" s="3"/>
      <c r="X42" s="3"/>
      <c r="Y42" s="3"/>
      <c r="Z42" s="3" t="s">
        <v>160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39" ht="15.75">
      <c r="B43" s="8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"/>
      <c r="O43" s="3"/>
      <c r="R43" s="3"/>
      <c r="S43" s="3"/>
      <c r="T43" s="23">
        <f t="shared" si="1"/>
        <v>0.13000000000000006</v>
      </c>
      <c r="U43" s="6"/>
      <c r="V43" s="24">
        <f t="shared" si="0"/>
        <v>878341.174595721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2:39" ht="15.75">
      <c r="B44" s="5" t="s">
        <v>28</v>
      </c>
      <c r="C44" s="6"/>
      <c r="D44" s="6"/>
      <c r="E44" s="6"/>
      <c r="F44" s="6"/>
      <c r="G44" s="6"/>
      <c r="H44" s="9">
        <f>T15/2</f>
        <v>3768518.515513125</v>
      </c>
      <c r="I44" s="6"/>
      <c r="J44" s="35" t="str">
        <f>J25</f>
        <v>EUR</v>
      </c>
      <c r="K44" s="6"/>
      <c r="L44" s="6"/>
      <c r="M44" s="7"/>
      <c r="N44" s="8"/>
      <c r="O44" s="3"/>
      <c r="R44" s="3"/>
      <c r="S44" s="3"/>
      <c r="T44" s="23">
        <f t="shared" si="1"/>
        <v>0.13500000000000006</v>
      </c>
      <c r="U44" s="6"/>
      <c r="V44" s="24">
        <f t="shared" si="0"/>
        <v>774463.3402313868</v>
      </c>
      <c r="W44" s="3"/>
      <c r="X44" s="3"/>
      <c r="Y44" s="3"/>
      <c r="Z44" s="3" t="s">
        <v>161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5.75">
      <c r="B45" s="8"/>
      <c r="C45" s="6"/>
      <c r="D45" s="6"/>
      <c r="E45" s="6"/>
      <c r="F45" s="6"/>
      <c r="G45" s="6"/>
      <c r="H45" s="9"/>
      <c r="I45" s="6"/>
      <c r="J45" s="6"/>
      <c r="K45" s="6"/>
      <c r="L45" s="6"/>
      <c r="M45" s="7"/>
      <c r="N45" s="8"/>
      <c r="O45" s="3"/>
      <c r="R45" s="3"/>
      <c r="S45" s="3"/>
      <c r="T45" s="23">
        <f t="shared" si="1"/>
        <v>0.14000000000000007</v>
      </c>
      <c r="U45" s="6"/>
      <c r="V45" s="24">
        <f t="shared" si="0"/>
        <v>676356.6247558144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.75">
      <c r="B46" s="5" t="s">
        <v>29</v>
      </c>
      <c r="C46" s="6"/>
      <c r="D46" s="6"/>
      <c r="E46" s="6"/>
      <c r="F46" s="6"/>
      <c r="G46" s="6"/>
      <c r="H46" s="9">
        <f>AB14/2+AB10/2</f>
        <v>1543055.5546539375</v>
      </c>
      <c r="I46" s="6"/>
      <c r="J46" s="35" t="str">
        <f>J25</f>
        <v>EUR</v>
      </c>
      <c r="K46" s="6"/>
      <c r="L46" s="6"/>
      <c r="M46" s="7"/>
      <c r="N46" s="8"/>
      <c r="O46" s="3"/>
      <c r="R46" s="3"/>
      <c r="S46" s="3"/>
      <c r="T46" s="23">
        <f t="shared" si="1"/>
        <v>0.14500000000000007</v>
      </c>
      <c r="U46" s="6"/>
      <c r="V46" s="24">
        <f t="shared" si="0"/>
        <v>583640.8850055119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2:39" ht="15.75">
      <c r="B47" s="8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8"/>
      <c r="O47" s="3"/>
      <c r="R47" s="3"/>
      <c r="S47" s="3"/>
      <c r="T47" s="37">
        <f t="shared" si="1"/>
        <v>0.15000000000000008</v>
      </c>
      <c r="U47" s="38"/>
      <c r="V47" s="39">
        <f t="shared" si="0"/>
        <v>495964.84414665395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2:39" ht="15.75">
      <c r="B48" s="4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41"/>
      <c r="N48" s="3"/>
      <c r="O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5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5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2:39" ht="15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2:39" ht="15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2:39" ht="15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5.75">
      <c r="B57" s="4" t="s">
        <v>30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42">
        <v>0.1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2:39" ht="15.75">
      <c r="B58" s="3"/>
      <c r="C58" s="3"/>
      <c r="D58" s="3"/>
      <c r="E58" s="3"/>
      <c r="F58" s="3"/>
      <c r="G58" s="3"/>
      <c r="H58" s="3"/>
      <c r="I58" s="3"/>
      <c r="J58" s="3"/>
      <c r="K58" s="3"/>
      <c r="L58" s="43" t="str">
        <f>+B22</f>
        <v>Dwt/Capacidade</v>
      </c>
      <c r="M58" s="3"/>
      <c r="N58" s="4">
        <f>H22</f>
        <v>400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2:39" ht="15.75">
      <c r="B59" s="3"/>
      <c r="C59" s="3"/>
      <c r="D59" s="4" t="s">
        <v>31</v>
      </c>
      <c r="E59" s="3"/>
      <c r="F59" s="3"/>
      <c r="G59" s="3"/>
      <c r="H59" s="4" t="s">
        <v>32</v>
      </c>
      <c r="I59" s="3"/>
      <c r="J59" s="3"/>
      <c r="K59" s="3"/>
      <c r="L59" s="4" t="s">
        <v>33</v>
      </c>
      <c r="M59" s="3"/>
      <c r="N59" s="3"/>
      <c r="O59" s="3"/>
      <c r="P59" s="3"/>
      <c r="Q59" s="3"/>
      <c r="R59" s="3"/>
      <c r="S59" s="3"/>
      <c r="T59" s="3"/>
      <c r="U59" s="3"/>
      <c r="V59" s="4" t="s">
        <v>34</v>
      </c>
      <c r="W59" s="3"/>
      <c r="X59" s="4" t="str">
        <f>J25</f>
        <v>EUR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2:39" ht="15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5.75">
      <c r="B61" s="44"/>
      <c r="C61" s="45"/>
      <c r="D61" s="44"/>
      <c r="E61" s="45"/>
      <c r="F61" s="44"/>
      <c r="G61" s="45"/>
      <c r="H61" s="44"/>
      <c r="I61" s="45"/>
      <c r="J61" s="46" t="s">
        <v>35</v>
      </c>
      <c r="K61" s="45"/>
      <c r="L61" s="45"/>
      <c r="M61" s="45"/>
      <c r="N61" s="45"/>
      <c r="O61" s="45"/>
      <c r="P61" s="45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7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2:39" ht="15.75">
      <c r="B62" s="48" t="s">
        <v>36</v>
      </c>
      <c r="C62" s="49"/>
      <c r="D62" s="48" t="s">
        <v>128</v>
      </c>
      <c r="E62" s="49"/>
      <c r="F62" s="48" t="s">
        <v>37</v>
      </c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8" t="s">
        <v>38</v>
      </c>
      <c r="S62" s="49"/>
      <c r="T62" s="48" t="s">
        <v>39</v>
      </c>
      <c r="U62" s="49"/>
      <c r="V62" s="48" t="s">
        <v>40</v>
      </c>
      <c r="W62" s="49"/>
      <c r="X62" s="48" t="s">
        <v>38</v>
      </c>
      <c r="Y62" s="49"/>
      <c r="Z62" s="48" t="s">
        <v>38</v>
      </c>
      <c r="AA62" s="27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2:39" ht="15.75">
      <c r="B63" s="50"/>
      <c r="C63" s="49"/>
      <c r="D63" s="48" t="s">
        <v>41</v>
      </c>
      <c r="E63" s="49"/>
      <c r="F63" s="48" t="s">
        <v>42</v>
      </c>
      <c r="G63" s="49"/>
      <c r="H63" s="51" t="s">
        <v>26</v>
      </c>
      <c r="I63" s="45"/>
      <c r="J63" s="51" t="s">
        <v>104</v>
      </c>
      <c r="K63" s="45"/>
      <c r="L63" s="51" t="s">
        <v>126</v>
      </c>
      <c r="M63" s="45"/>
      <c r="N63" s="51" t="s">
        <v>127</v>
      </c>
      <c r="O63" s="45"/>
      <c r="P63" s="51" t="s">
        <v>43</v>
      </c>
      <c r="Q63" s="45"/>
      <c r="R63" s="48" t="s">
        <v>44</v>
      </c>
      <c r="S63" s="49"/>
      <c r="T63" s="48" t="s">
        <v>45</v>
      </c>
      <c r="U63" s="49"/>
      <c r="V63" s="48" t="s">
        <v>45</v>
      </c>
      <c r="W63" s="49"/>
      <c r="X63" s="48" t="s">
        <v>46</v>
      </c>
      <c r="Y63" s="49"/>
      <c r="Z63" s="52" t="s">
        <v>47</v>
      </c>
      <c r="AA63" s="32"/>
      <c r="AB63" s="53">
        <v>0.05</v>
      </c>
      <c r="AC63" s="3"/>
      <c r="AD63" s="54">
        <f>NPV($AB$63,$Z$66:$Z$96)</f>
        <v>3802424.9845391754</v>
      </c>
      <c r="AE63" s="3"/>
      <c r="AF63" s="3"/>
      <c r="AG63" s="3"/>
      <c r="AH63" s="3"/>
      <c r="AI63" s="3"/>
      <c r="AJ63" s="3"/>
      <c r="AK63" s="3"/>
      <c r="AL63" s="3"/>
      <c r="AM63" s="3"/>
    </row>
    <row r="64" spans="2:39" ht="15.75">
      <c r="B64" s="55"/>
      <c r="C64" s="18"/>
      <c r="D64" s="56"/>
      <c r="E64" s="18"/>
      <c r="F64" s="56"/>
      <c r="G64" s="18"/>
      <c r="H64" s="56"/>
      <c r="I64" s="18"/>
      <c r="J64" s="56"/>
      <c r="K64" s="18"/>
      <c r="L64" s="56"/>
      <c r="M64" s="18"/>
      <c r="N64" s="56"/>
      <c r="O64" s="18"/>
      <c r="P64" s="56"/>
      <c r="Q64" s="18"/>
      <c r="R64" s="56"/>
      <c r="S64" s="18"/>
      <c r="T64" s="56"/>
      <c r="U64" s="18"/>
      <c r="V64" s="56"/>
      <c r="W64" s="18"/>
      <c r="X64" s="56"/>
      <c r="Y64" s="18"/>
      <c r="Z64" s="56"/>
      <c r="AA64" s="7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5.75">
      <c r="B65" s="57"/>
      <c r="C65" s="3"/>
      <c r="D65" s="8"/>
      <c r="E65" s="3"/>
      <c r="F65" s="8"/>
      <c r="G65" s="3"/>
      <c r="H65" s="8"/>
      <c r="I65" s="3"/>
      <c r="J65" s="8"/>
      <c r="K65" s="3"/>
      <c r="L65" s="8"/>
      <c r="M65" s="3"/>
      <c r="N65" s="8"/>
      <c r="O65" s="3"/>
      <c r="P65" s="8"/>
      <c r="Q65" s="3"/>
      <c r="R65" s="8"/>
      <c r="S65" s="3"/>
      <c r="T65" s="8"/>
      <c r="U65" s="3"/>
      <c r="V65" s="8"/>
      <c r="W65" s="3"/>
      <c r="X65" s="8"/>
      <c r="Y65" s="3"/>
      <c r="Z65" s="8"/>
      <c r="AA65" s="7"/>
      <c r="AB65" s="53">
        <v>0.1</v>
      </c>
      <c r="AC65" s="3"/>
      <c r="AD65" s="54">
        <f>NPV($AB$65,$Z$66:$Z$96)</f>
        <v>1648464.0078882389</v>
      </c>
      <c r="AE65" s="3"/>
      <c r="AF65" s="3"/>
      <c r="AG65" s="3"/>
      <c r="AH65" s="3"/>
      <c r="AI65" s="3"/>
      <c r="AJ65" s="3"/>
      <c r="AK65" s="3"/>
      <c r="AL65" s="3"/>
      <c r="AM65" s="3"/>
    </row>
    <row r="66" spans="2:39" ht="15.75">
      <c r="B66" s="58">
        <v>0</v>
      </c>
      <c r="C66" s="3"/>
      <c r="D66" s="123">
        <f>H25+H27</f>
        <v>3000000</v>
      </c>
      <c r="E66" s="3"/>
      <c r="F66" s="59">
        <v>0</v>
      </c>
      <c r="G66" s="3"/>
      <c r="H66" s="8"/>
      <c r="I66" s="3"/>
      <c r="J66" s="8"/>
      <c r="K66" s="3"/>
      <c r="L66" s="8"/>
      <c r="M66" s="3"/>
      <c r="N66" s="8"/>
      <c r="O66" s="3"/>
      <c r="P66" s="8"/>
      <c r="Q66" s="3"/>
      <c r="R66" s="59">
        <f aca="true" t="shared" si="2" ref="R66:R74">D66+F66+P66</f>
        <v>3000000</v>
      </c>
      <c r="S66" s="3"/>
      <c r="T66" s="8"/>
      <c r="U66" s="3"/>
      <c r="V66" s="8"/>
      <c r="W66" s="3"/>
      <c r="X66" s="59">
        <f aca="true" t="shared" si="3" ref="X66:X74">T66-V66</f>
        <v>0</v>
      </c>
      <c r="Y66" s="3"/>
      <c r="Z66" s="59">
        <f aca="true" t="shared" si="4" ref="Z66:Z74">X66-R66</f>
        <v>-3000000</v>
      </c>
      <c r="AA66" s="7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2:39" ht="15.75">
      <c r="B67" s="58">
        <f aca="true" t="shared" si="5" ref="B67:B96">B66+1</f>
        <v>1</v>
      </c>
      <c r="C67" s="3"/>
      <c r="D67" s="60"/>
      <c r="E67" s="3"/>
      <c r="F67" s="61">
        <f aca="true" t="shared" si="6" ref="F67:F86">-$F$66/$H$35</f>
        <v>0</v>
      </c>
      <c r="G67" s="3"/>
      <c r="H67" s="61">
        <f aca="true" t="shared" si="7" ref="H67:H74">IF(B67&lt;=($H$24*2),$H$39,0)</f>
        <v>1129759.258853125</v>
      </c>
      <c r="I67" s="3"/>
      <c r="J67" s="61">
        <f aca="true" t="shared" si="8" ref="J67:J81">IF($B67&lt;=($H$24*2),$H$40,0)</f>
        <v>407407.4070825</v>
      </c>
      <c r="K67" s="3"/>
      <c r="L67" s="61">
        <f aca="true" t="shared" si="9" ref="L67:L81">IF($B67&lt;=($H$24*2),$H$41,0)</f>
        <v>7200</v>
      </c>
      <c r="M67" s="3"/>
      <c r="N67" s="61">
        <f aca="true" t="shared" si="10" ref="N67:N81">IF($B67&lt;=($H$24*2),$H$42,0)</f>
        <v>47500</v>
      </c>
      <c r="O67" s="3"/>
      <c r="P67" s="61">
        <f aca="true" t="shared" si="11" ref="P67:P74">SUM(H67:N67)</f>
        <v>1591866.6659356249</v>
      </c>
      <c r="Q67" s="3"/>
      <c r="R67" s="61">
        <f t="shared" si="2"/>
        <v>1591866.6659356249</v>
      </c>
      <c r="S67" s="3"/>
      <c r="T67" s="61">
        <f aca="true" t="shared" si="12" ref="T67:T81">IF($B67&lt;($H$24*2),$H$44,(IF($B67=($H$24*2),($H$44+$H$26),0)))</f>
        <v>3768518.515513125</v>
      </c>
      <c r="U67" s="3"/>
      <c r="V67" s="61">
        <f aca="true" t="shared" si="13" ref="V67:V81">IF($B67&lt;=($H$24*2),$H$46,0)</f>
        <v>1543055.5546539375</v>
      </c>
      <c r="W67" s="3"/>
      <c r="X67" s="61">
        <f t="shared" si="3"/>
        <v>2225462.9608591874</v>
      </c>
      <c r="Y67" s="3"/>
      <c r="Z67" s="61">
        <f t="shared" si="4"/>
        <v>633596.2949235626</v>
      </c>
      <c r="AA67" s="7"/>
      <c r="AB67" s="53">
        <v>0.15</v>
      </c>
      <c r="AC67" s="3"/>
      <c r="AD67" s="54">
        <f>NPV($AB$67,$Z$66:$Z$82)</f>
        <v>325612.8619716643</v>
      </c>
      <c r="AE67" s="3"/>
      <c r="AF67" s="3"/>
      <c r="AG67" s="3"/>
      <c r="AH67" s="3"/>
      <c r="AI67" s="3"/>
      <c r="AJ67" s="3"/>
      <c r="AK67" s="3"/>
      <c r="AL67" s="3"/>
      <c r="AM67" s="3"/>
    </row>
    <row r="68" spans="2:39" ht="15.75">
      <c r="B68" s="58">
        <f t="shared" si="5"/>
        <v>2</v>
      </c>
      <c r="C68" s="3"/>
      <c r="D68" s="62"/>
      <c r="E68" s="3"/>
      <c r="F68" s="61">
        <f t="shared" si="6"/>
        <v>0</v>
      </c>
      <c r="G68" s="3"/>
      <c r="H68" s="61">
        <f t="shared" si="7"/>
        <v>1129759.258853125</v>
      </c>
      <c r="I68" s="3"/>
      <c r="J68" s="61">
        <f t="shared" si="8"/>
        <v>407407.4070825</v>
      </c>
      <c r="K68" s="3"/>
      <c r="L68" s="61">
        <f t="shared" si="9"/>
        <v>7200</v>
      </c>
      <c r="M68" s="3"/>
      <c r="N68" s="61">
        <f t="shared" si="10"/>
        <v>47500</v>
      </c>
      <c r="O68" s="3"/>
      <c r="P68" s="61">
        <f t="shared" si="11"/>
        <v>1591866.6659356249</v>
      </c>
      <c r="Q68" s="3"/>
      <c r="R68" s="61">
        <f t="shared" si="2"/>
        <v>1591866.6659356249</v>
      </c>
      <c r="S68" s="3"/>
      <c r="T68" s="61">
        <f t="shared" si="12"/>
        <v>3768518.515513125</v>
      </c>
      <c r="U68" s="3"/>
      <c r="V68" s="61">
        <f t="shared" si="13"/>
        <v>1543055.5546539375</v>
      </c>
      <c r="W68" s="3"/>
      <c r="X68" s="61">
        <f t="shared" si="3"/>
        <v>2225462.9608591874</v>
      </c>
      <c r="Y68" s="3"/>
      <c r="Z68" s="61">
        <f t="shared" si="4"/>
        <v>633596.2949235626</v>
      </c>
      <c r="AA68" s="7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2:39" ht="15.75">
      <c r="B69" s="58">
        <f t="shared" si="5"/>
        <v>3</v>
      </c>
      <c r="C69" s="3"/>
      <c r="D69" s="60"/>
      <c r="E69" s="3"/>
      <c r="F69" s="61">
        <f t="shared" si="6"/>
        <v>0</v>
      </c>
      <c r="G69" s="3"/>
      <c r="H69" s="61">
        <f t="shared" si="7"/>
        <v>1129759.258853125</v>
      </c>
      <c r="I69" s="3"/>
      <c r="J69" s="61">
        <f t="shared" si="8"/>
        <v>407407.4070825</v>
      </c>
      <c r="K69" s="3"/>
      <c r="L69" s="61">
        <f t="shared" si="9"/>
        <v>7200</v>
      </c>
      <c r="M69" s="3"/>
      <c r="N69" s="61">
        <f t="shared" si="10"/>
        <v>47500</v>
      </c>
      <c r="O69" s="3"/>
      <c r="P69" s="61">
        <f t="shared" si="11"/>
        <v>1591866.6659356249</v>
      </c>
      <c r="Q69" s="3"/>
      <c r="R69" s="61">
        <f t="shared" si="2"/>
        <v>1591866.6659356249</v>
      </c>
      <c r="S69" s="3"/>
      <c r="T69" s="61">
        <f t="shared" si="12"/>
        <v>3768518.515513125</v>
      </c>
      <c r="U69" s="3"/>
      <c r="V69" s="61">
        <f t="shared" si="13"/>
        <v>1543055.5546539375</v>
      </c>
      <c r="W69" s="3"/>
      <c r="X69" s="61">
        <f t="shared" si="3"/>
        <v>2225462.9608591874</v>
      </c>
      <c r="Y69" s="3"/>
      <c r="Z69" s="61">
        <f t="shared" si="4"/>
        <v>633596.2949235626</v>
      </c>
      <c r="AA69" s="7"/>
      <c r="AB69" s="53">
        <v>0.2</v>
      </c>
      <c r="AC69" s="3"/>
      <c r="AD69" s="54">
        <f>NPV($AB$69,$Z$66:$Z$82)</f>
        <v>-239326.96515712698</v>
      </c>
      <c r="AE69" s="3"/>
      <c r="AF69" s="3"/>
      <c r="AG69" s="3"/>
      <c r="AH69" s="3"/>
      <c r="AI69" s="3"/>
      <c r="AJ69" s="3"/>
      <c r="AK69" s="3"/>
      <c r="AL69" s="3"/>
      <c r="AM69" s="3"/>
    </row>
    <row r="70" spans="2:39" ht="15.75">
      <c r="B70" s="58">
        <f t="shared" si="5"/>
        <v>4</v>
      </c>
      <c r="C70" s="3"/>
      <c r="D70" s="120">
        <v>250000</v>
      </c>
      <c r="E70" s="3"/>
      <c r="F70" s="61">
        <f t="shared" si="6"/>
        <v>0</v>
      </c>
      <c r="G70" s="3"/>
      <c r="H70" s="61">
        <f t="shared" si="7"/>
        <v>1129759.258853125</v>
      </c>
      <c r="I70" s="3"/>
      <c r="J70" s="61">
        <f t="shared" si="8"/>
        <v>407407.4070825</v>
      </c>
      <c r="K70" s="3"/>
      <c r="L70" s="61">
        <f t="shared" si="9"/>
        <v>7200</v>
      </c>
      <c r="M70" s="3"/>
      <c r="N70" s="61">
        <f t="shared" si="10"/>
        <v>47500</v>
      </c>
      <c r="O70" s="3"/>
      <c r="P70" s="61">
        <f t="shared" si="11"/>
        <v>1591866.6659356249</v>
      </c>
      <c r="Q70" s="3"/>
      <c r="R70" s="61">
        <f t="shared" si="2"/>
        <v>1841866.6659356249</v>
      </c>
      <c r="S70" s="3"/>
      <c r="T70" s="61">
        <f t="shared" si="12"/>
        <v>3768518.515513125</v>
      </c>
      <c r="U70" s="3"/>
      <c r="V70" s="61">
        <f t="shared" si="13"/>
        <v>1543055.5546539375</v>
      </c>
      <c r="W70" s="3"/>
      <c r="X70" s="61">
        <f t="shared" si="3"/>
        <v>2225462.9608591874</v>
      </c>
      <c r="Y70" s="3"/>
      <c r="Z70" s="61">
        <f t="shared" si="4"/>
        <v>383596.29492356256</v>
      </c>
      <c r="AA70" s="7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2:39" ht="15.75">
      <c r="B71" s="58">
        <f t="shared" si="5"/>
        <v>5</v>
      </c>
      <c r="C71" s="3"/>
      <c r="D71" s="60"/>
      <c r="E71" s="3"/>
      <c r="F71" s="61">
        <f t="shared" si="6"/>
        <v>0</v>
      </c>
      <c r="G71" s="3"/>
      <c r="H71" s="61">
        <f t="shared" si="7"/>
        <v>1129759.258853125</v>
      </c>
      <c r="I71" s="3"/>
      <c r="J71" s="61">
        <f t="shared" si="8"/>
        <v>407407.4070825</v>
      </c>
      <c r="K71" s="3"/>
      <c r="L71" s="61">
        <f t="shared" si="9"/>
        <v>7200</v>
      </c>
      <c r="M71" s="3"/>
      <c r="N71" s="61">
        <f t="shared" si="10"/>
        <v>47500</v>
      </c>
      <c r="O71" s="3"/>
      <c r="P71" s="61">
        <f t="shared" si="11"/>
        <v>1591866.6659356249</v>
      </c>
      <c r="Q71" s="3"/>
      <c r="R71" s="61">
        <f t="shared" si="2"/>
        <v>1591866.6659356249</v>
      </c>
      <c r="S71" s="3"/>
      <c r="T71" s="61">
        <f t="shared" si="12"/>
        <v>3768518.515513125</v>
      </c>
      <c r="U71" s="3"/>
      <c r="V71" s="61">
        <f t="shared" si="13"/>
        <v>1543055.5546539375</v>
      </c>
      <c r="W71" s="3"/>
      <c r="X71" s="61">
        <f t="shared" si="3"/>
        <v>2225462.9608591874</v>
      </c>
      <c r="Y71" s="3"/>
      <c r="Z71" s="61">
        <f t="shared" si="4"/>
        <v>633596.2949235626</v>
      </c>
      <c r="AA71" s="7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 ht="15.75">
      <c r="B72" s="58">
        <f t="shared" si="5"/>
        <v>6</v>
      </c>
      <c r="C72" s="3"/>
      <c r="D72" s="62"/>
      <c r="E72" s="3"/>
      <c r="F72" s="61">
        <f t="shared" si="6"/>
        <v>0</v>
      </c>
      <c r="G72" s="3"/>
      <c r="H72" s="61">
        <f t="shared" si="7"/>
        <v>1129759.258853125</v>
      </c>
      <c r="I72" s="3"/>
      <c r="J72" s="61">
        <f t="shared" si="8"/>
        <v>407407.4070825</v>
      </c>
      <c r="K72" s="3"/>
      <c r="L72" s="61">
        <f t="shared" si="9"/>
        <v>7200</v>
      </c>
      <c r="M72" s="3"/>
      <c r="N72" s="61">
        <f t="shared" si="10"/>
        <v>47500</v>
      </c>
      <c r="O72" s="3"/>
      <c r="P72" s="61">
        <f t="shared" si="11"/>
        <v>1591866.6659356249</v>
      </c>
      <c r="Q72" s="3"/>
      <c r="R72" s="61">
        <f t="shared" si="2"/>
        <v>1591866.6659356249</v>
      </c>
      <c r="S72" s="3"/>
      <c r="T72" s="61">
        <f t="shared" si="12"/>
        <v>3768518.515513125</v>
      </c>
      <c r="U72" s="3"/>
      <c r="V72" s="61">
        <f t="shared" si="13"/>
        <v>1543055.5546539375</v>
      </c>
      <c r="W72" s="3"/>
      <c r="X72" s="61">
        <f t="shared" si="3"/>
        <v>2225462.9608591874</v>
      </c>
      <c r="Y72" s="3"/>
      <c r="Z72" s="61">
        <f t="shared" si="4"/>
        <v>633596.2949235626</v>
      </c>
      <c r="AA72" s="7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 ht="15.75">
      <c r="B73" s="58">
        <f t="shared" si="5"/>
        <v>7</v>
      </c>
      <c r="C73" s="3"/>
      <c r="D73" s="120">
        <v>250000</v>
      </c>
      <c r="E73" s="3"/>
      <c r="F73" s="61">
        <f t="shared" si="6"/>
        <v>0</v>
      </c>
      <c r="G73" s="3"/>
      <c r="H73" s="61">
        <f t="shared" si="7"/>
        <v>1129759.258853125</v>
      </c>
      <c r="I73" s="3"/>
      <c r="J73" s="61">
        <f t="shared" si="8"/>
        <v>407407.4070825</v>
      </c>
      <c r="K73" s="3"/>
      <c r="L73" s="61">
        <f t="shared" si="9"/>
        <v>7200</v>
      </c>
      <c r="M73" s="3"/>
      <c r="N73" s="61">
        <f t="shared" si="10"/>
        <v>47500</v>
      </c>
      <c r="O73" s="3"/>
      <c r="P73" s="61">
        <f t="shared" si="11"/>
        <v>1591866.6659356249</v>
      </c>
      <c r="Q73" s="3"/>
      <c r="R73" s="61">
        <f t="shared" si="2"/>
        <v>1841866.6659356249</v>
      </c>
      <c r="S73" s="3"/>
      <c r="T73" s="61">
        <f t="shared" si="12"/>
        <v>3768518.515513125</v>
      </c>
      <c r="U73" s="3"/>
      <c r="V73" s="61">
        <f t="shared" si="13"/>
        <v>1543055.5546539375</v>
      </c>
      <c r="W73" s="3"/>
      <c r="X73" s="61">
        <f t="shared" si="3"/>
        <v>2225462.9608591874</v>
      </c>
      <c r="Y73" s="3"/>
      <c r="Z73" s="61">
        <f t="shared" si="4"/>
        <v>383596.29492356256</v>
      </c>
      <c r="AA73" s="7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2:39" ht="15.75">
      <c r="B74" s="58">
        <f t="shared" si="5"/>
        <v>8</v>
      </c>
      <c r="C74" s="3"/>
      <c r="D74" s="60"/>
      <c r="E74" s="3"/>
      <c r="F74" s="61">
        <f t="shared" si="6"/>
        <v>0</v>
      </c>
      <c r="G74" s="3"/>
      <c r="H74" s="61">
        <f t="shared" si="7"/>
        <v>1129759.258853125</v>
      </c>
      <c r="I74" s="3"/>
      <c r="J74" s="61">
        <f t="shared" si="8"/>
        <v>407407.4070825</v>
      </c>
      <c r="K74" s="3"/>
      <c r="L74" s="61">
        <f t="shared" si="9"/>
        <v>7200</v>
      </c>
      <c r="M74" s="3"/>
      <c r="N74" s="61">
        <f t="shared" si="10"/>
        <v>47500</v>
      </c>
      <c r="O74" s="3"/>
      <c r="P74" s="61">
        <f t="shared" si="11"/>
        <v>1591866.6659356249</v>
      </c>
      <c r="Q74" s="3"/>
      <c r="R74" s="61">
        <f t="shared" si="2"/>
        <v>1591866.6659356249</v>
      </c>
      <c r="S74" s="3"/>
      <c r="T74" s="61">
        <f t="shared" si="12"/>
        <v>3768518.515513125</v>
      </c>
      <c r="U74" s="3"/>
      <c r="V74" s="61">
        <f t="shared" si="13"/>
        <v>1543055.5546539375</v>
      </c>
      <c r="W74" s="3"/>
      <c r="X74" s="61">
        <f t="shared" si="3"/>
        <v>2225462.9608591874</v>
      </c>
      <c r="Y74" s="3"/>
      <c r="Z74" s="61">
        <f t="shared" si="4"/>
        <v>633596.2949235626</v>
      </c>
      <c r="AA74" s="7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2:39" ht="15.75">
      <c r="B75" s="58">
        <f t="shared" si="5"/>
        <v>9</v>
      </c>
      <c r="C75" s="3"/>
      <c r="D75" s="60"/>
      <c r="E75" s="3"/>
      <c r="F75" s="61">
        <f t="shared" si="6"/>
        <v>0</v>
      </c>
      <c r="G75" s="3"/>
      <c r="H75" s="61">
        <f aca="true" t="shared" si="14" ref="H75:H81">IF(B75&lt;=($H$24*2),$H$39,0)</f>
        <v>1129759.258853125</v>
      </c>
      <c r="I75" s="3"/>
      <c r="J75" s="61">
        <f t="shared" si="8"/>
        <v>407407.4070825</v>
      </c>
      <c r="K75" s="3"/>
      <c r="L75" s="61">
        <f t="shared" si="9"/>
        <v>7200</v>
      </c>
      <c r="M75" s="3"/>
      <c r="N75" s="61">
        <f t="shared" si="10"/>
        <v>47500</v>
      </c>
      <c r="O75" s="3"/>
      <c r="P75" s="61">
        <f aca="true" t="shared" si="15" ref="P75:P81">SUM(H75:N75)</f>
        <v>1591866.6659356249</v>
      </c>
      <c r="Q75" s="3"/>
      <c r="R75" s="61">
        <f aca="true" t="shared" si="16" ref="R75:R81">D75+F75+P75</f>
        <v>1591866.6659356249</v>
      </c>
      <c r="S75" s="3"/>
      <c r="T75" s="61">
        <f t="shared" si="12"/>
        <v>3768518.515513125</v>
      </c>
      <c r="U75" s="3"/>
      <c r="V75" s="61">
        <f t="shared" si="13"/>
        <v>1543055.5546539375</v>
      </c>
      <c r="W75" s="3"/>
      <c r="X75" s="61">
        <f aca="true" t="shared" si="17" ref="X75:X81">T75-V75</f>
        <v>2225462.9608591874</v>
      </c>
      <c r="Y75" s="3"/>
      <c r="Z75" s="61">
        <f aca="true" t="shared" si="18" ref="Z75:Z81">X75-R75</f>
        <v>633596.2949235626</v>
      </c>
      <c r="AA75" s="7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2:39" ht="15.75">
      <c r="B76" s="58">
        <f t="shared" si="5"/>
        <v>10</v>
      </c>
      <c r="C76" s="3"/>
      <c r="D76" s="120">
        <v>250000</v>
      </c>
      <c r="E76" s="3"/>
      <c r="F76" s="61">
        <f t="shared" si="6"/>
        <v>0</v>
      </c>
      <c r="G76" s="3"/>
      <c r="H76" s="61">
        <f t="shared" si="14"/>
        <v>1129759.258853125</v>
      </c>
      <c r="I76" s="3"/>
      <c r="J76" s="61">
        <f t="shared" si="8"/>
        <v>407407.4070825</v>
      </c>
      <c r="K76" s="3"/>
      <c r="L76" s="61">
        <f t="shared" si="9"/>
        <v>7200</v>
      </c>
      <c r="M76" s="3"/>
      <c r="N76" s="61">
        <f t="shared" si="10"/>
        <v>47500</v>
      </c>
      <c r="O76" s="3"/>
      <c r="P76" s="61">
        <f t="shared" si="15"/>
        <v>1591866.6659356249</v>
      </c>
      <c r="Q76" s="3"/>
      <c r="R76" s="61">
        <f t="shared" si="16"/>
        <v>1841866.6659356249</v>
      </c>
      <c r="S76" s="3"/>
      <c r="T76" s="61">
        <f t="shared" si="12"/>
        <v>3768518.515513125</v>
      </c>
      <c r="U76" s="3"/>
      <c r="V76" s="61">
        <f t="shared" si="13"/>
        <v>1543055.5546539375</v>
      </c>
      <c r="W76" s="3"/>
      <c r="X76" s="61">
        <f t="shared" si="17"/>
        <v>2225462.9608591874</v>
      </c>
      <c r="Y76" s="3"/>
      <c r="Z76" s="61">
        <f t="shared" si="18"/>
        <v>383596.29492356256</v>
      </c>
      <c r="AA76" s="7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2:39" ht="15.75">
      <c r="B77" s="58">
        <f t="shared" si="5"/>
        <v>11</v>
      </c>
      <c r="C77" s="3"/>
      <c r="D77" s="60"/>
      <c r="E77" s="3"/>
      <c r="F77" s="61">
        <f t="shared" si="6"/>
        <v>0</v>
      </c>
      <c r="G77" s="3"/>
      <c r="H77" s="61">
        <f t="shared" si="14"/>
        <v>1129759.258853125</v>
      </c>
      <c r="I77" s="3"/>
      <c r="J77" s="61">
        <f t="shared" si="8"/>
        <v>407407.4070825</v>
      </c>
      <c r="K77" s="3"/>
      <c r="L77" s="61">
        <f t="shared" si="9"/>
        <v>7200</v>
      </c>
      <c r="M77" s="3"/>
      <c r="N77" s="61">
        <f t="shared" si="10"/>
        <v>47500</v>
      </c>
      <c r="O77" s="3"/>
      <c r="P77" s="61">
        <f t="shared" si="15"/>
        <v>1591866.6659356249</v>
      </c>
      <c r="Q77" s="3"/>
      <c r="R77" s="61">
        <f t="shared" si="16"/>
        <v>1591866.6659356249</v>
      </c>
      <c r="S77" s="3"/>
      <c r="T77" s="61">
        <f t="shared" si="12"/>
        <v>3768518.515513125</v>
      </c>
      <c r="U77" s="3"/>
      <c r="V77" s="61">
        <f t="shared" si="13"/>
        <v>1543055.5546539375</v>
      </c>
      <c r="W77" s="3"/>
      <c r="X77" s="61">
        <f t="shared" si="17"/>
        <v>2225462.9608591874</v>
      </c>
      <c r="Y77" s="3"/>
      <c r="Z77" s="61">
        <f t="shared" si="18"/>
        <v>633596.2949235626</v>
      </c>
      <c r="AA77" s="7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2:39" ht="15.75">
      <c r="B78" s="58">
        <f t="shared" si="5"/>
        <v>12</v>
      </c>
      <c r="C78" s="3"/>
      <c r="D78" s="60"/>
      <c r="E78" s="3"/>
      <c r="F78" s="61">
        <f t="shared" si="6"/>
        <v>0</v>
      </c>
      <c r="G78" s="3"/>
      <c r="H78" s="61">
        <f t="shared" si="14"/>
        <v>1129759.258853125</v>
      </c>
      <c r="I78" s="3"/>
      <c r="J78" s="61">
        <f t="shared" si="8"/>
        <v>407407.4070825</v>
      </c>
      <c r="K78" s="3"/>
      <c r="L78" s="61">
        <f t="shared" si="9"/>
        <v>7200</v>
      </c>
      <c r="M78" s="3"/>
      <c r="N78" s="61">
        <f t="shared" si="10"/>
        <v>47500</v>
      </c>
      <c r="O78" s="3"/>
      <c r="P78" s="61">
        <f t="shared" si="15"/>
        <v>1591866.6659356249</v>
      </c>
      <c r="Q78" s="3"/>
      <c r="R78" s="61">
        <f t="shared" si="16"/>
        <v>1591866.6659356249</v>
      </c>
      <c r="S78" s="3"/>
      <c r="T78" s="61">
        <f t="shared" si="12"/>
        <v>3768518.515513125</v>
      </c>
      <c r="U78" s="3"/>
      <c r="V78" s="61">
        <f t="shared" si="13"/>
        <v>1543055.5546539375</v>
      </c>
      <c r="W78" s="3"/>
      <c r="X78" s="61">
        <f t="shared" si="17"/>
        <v>2225462.9608591874</v>
      </c>
      <c r="Y78" s="3"/>
      <c r="Z78" s="61">
        <f t="shared" si="18"/>
        <v>633596.2949235626</v>
      </c>
      <c r="AA78" s="7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2:39" ht="15.75">
      <c r="B79" s="58">
        <f t="shared" si="5"/>
        <v>13</v>
      </c>
      <c r="C79" s="3"/>
      <c r="D79" s="120">
        <v>250000</v>
      </c>
      <c r="E79" s="3"/>
      <c r="F79" s="61">
        <f t="shared" si="6"/>
        <v>0</v>
      </c>
      <c r="G79" s="3"/>
      <c r="H79" s="61">
        <f t="shared" si="14"/>
        <v>1129759.258853125</v>
      </c>
      <c r="I79" s="3"/>
      <c r="J79" s="61">
        <f t="shared" si="8"/>
        <v>407407.4070825</v>
      </c>
      <c r="K79" s="3"/>
      <c r="L79" s="61">
        <f t="shared" si="9"/>
        <v>7200</v>
      </c>
      <c r="M79" s="3"/>
      <c r="N79" s="61">
        <f t="shared" si="10"/>
        <v>47500</v>
      </c>
      <c r="O79" s="3"/>
      <c r="P79" s="61">
        <f t="shared" si="15"/>
        <v>1591866.6659356249</v>
      </c>
      <c r="Q79" s="3"/>
      <c r="R79" s="61">
        <f t="shared" si="16"/>
        <v>1841866.6659356249</v>
      </c>
      <c r="S79" s="3"/>
      <c r="T79" s="61">
        <f t="shared" si="12"/>
        <v>3768518.515513125</v>
      </c>
      <c r="U79" s="3"/>
      <c r="V79" s="61">
        <f t="shared" si="13"/>
        <v>1543055.5546539375</v>
      </c>
      <c r="W79" s="3"/>
      <c r="X79" s="61">
        <f t="shared" si="17"/>
        <v>2225462.9608591874</v>
      </c>
      <c r="Y79" s="3"/>
      <c r="Z79" s="61">
        <f t="shared" si="18"/>
        <v>383596.29492356256</v>
      </c>
      <c r="AA79" s="7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2:39" ht="15.75">
      <c r="B80" s="58">
        <f t="shared" si="5"/>
        <v>14</v>
      </c>
      <c r="C80" s="3"/>
      <c r="D80" s="60"/>
      <c r="E80" s="3"/>
      <c r="F80" s="61">
        <f t="shared" si="6"/>
        <v>0</v>
      </c>
      <c r="G80" s="3"/>
      <c r="H80" s="61">
        <f t="shared" si="14"/>
        <v>1129759.258853125</v>
      </c>
      <c r="I80" s="3"/>
      <c r="J80" s="61">
        <f t="shared" si="8"/>
        <v>407407.4070825</v>
      </c>
      <c r="K80" s="3"/>
      <c r="L80" s="61">
        <f t="shared" si="9"/>
        <v>7200</v>
      </c>
      <c r="M80" s="3"/>
      <c r="N80" s="61">
        <f t="shared" si="10"/>
        <v>47500</v>
      </c>
      <c r="O80" s="3"/>
      <c r="P80" s="61">
        <f t="shared" si="15"/>
        <v>1591866.6659356249</v>
      </c>
      <c r="Q80" s="3"/>
      <c r="R80" s="61">
        <f t="shared" si="16"/>
        <v>1591866.6659356249</v>
      </c>
      <c r="S80" s="3"/>
      <c r="T80" s="61">
        <f t="shared" si="12"/>
        <v>3768518.515513125</v>
      </c>
      <c r="U80" s="3"/>
      <c r="V80" s="61">
        <f t="shared" si="13"/>
        <v>1543055.5546539375</v>
      </c>
      <c r="W80" s="3"/>
      <c r="X80" s="61">
        <f t="shared" si="17"/>
        <v>2225462.9608591874</v>
      </c>
      <c r="Y80" s="3"/>
      <c r="Z80" s="61">
        <f t="shared" si="18"/>
        <v>633596.2949235626</v>
      </c>
      <c r="AA80" s="7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2:39" ht="15.75">
      <c r="B81" s="58">
        <f t="shared" si="5"/>
        <v>15</v>
      </c>
      <c r="C81" s="3"/>
      <c r="D81" s="60"/>
      <c r="E81" s="3"/>
      <c r="F81" s="61">
        <f t="shared" si="6"/>
        <v>0</v>
      </c>
      <c r="G81" s="3"/>
      <c r="H81" s="61">
        <f t="shared" si="14"/>
        <v>1129759.258853125</v>
      </c>
      <c r="I81" s="3"/>
      <c r="J81" s="61">
        <f t="shared" si="8"/>
        <v>407407.4070825</v>
      </c>
      <c r="K81" s="3"/>
      <c r="L81" s="61">
        <f t="shared" si="9"/>
        <v>7200</v>
      </c>
      <c r="M81" s="3"/>
      <c r="N81" s="61">
        <f t="shared" si="10"/>
        <v>47500</v>
      </c>
      <c r="O81" s="3"/>
      <c r="P81" s="61">
        <f t="shared" si="15"/>
        <v>1591866.6659356249</v>
      </c>
      <c r="Q81" s="3"/>
      <c r="R81" s="61">
        <f t="shared" si="16"/>
        <v>1591866.6659356249</v>
      </c>
      <c r="S81" s="3"/>
      <c r="T81" s="61">
        <f t="shared" si="12"/>
        <v>3768518.515513125</v>
      </c>
      <c r="U81" s="3"/>
      <c r="V81" s="61">
        <f t="shared" si="13"/>
        <v>1543055.5546539375</v>
      </c>
      <c r="W81" s="3"/>
      <c r="X81" s="61">
        <f t="shared" si="17"/>
        <v>2225462.9608591874</v>
      </c>
      <c r="Y81" s="3"/>
      <c r="Z81" s="61">
        <f t="shared" si="18"/>
        <v>633596.2949235626</v>
      </c>
      <c r="AA81" s="7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2:39" ht="15.75">
      <c r="B82" s="58">
        <f t="shared" si="5"/>
        <v>16</v>
      </c>
      <c r="C82" s="3"/>
      <c r="D82" s="120">
        <v>550000</v>
      </c>
      <c r="E82" s="3"/>
      <c r="F82" s="61">
        <f t="shared" si="6"/>
        <v>0</v>
      </c>
      <c r="G82" s="3"/>
      <c r="H82" s="61">
        <f>IF(B82&lt;=($H$24*2),$H$39,0)</f>
        <v>1129759.258853125</v>
      </c>
      <c r="I82" s="3"/>
      <c r="J82" s="61">
        <f>IF($B82&lt;=($H$24*2),$H$40,0)</f>
        <v>407407.4070825</v>
      </c>
      <c r="K82" s="3"/>
      <c r="L82" s="61">
        <f>IF($B82&lt;=($H$24*2),$H$41,0)</f>
        <v>7200</v>
      </c>
      <c r="M82" s="3"/>
      <c r="N82" s="61">
        <f>IF($B82&lt;=($H$24*2),$H$42,0)</f>
        <v>47500</v>
      </c>
      <c r="O82" s="3"/>
      <c r="P82" s="61">
        <f>SUM(H82:N82)</f>
        <v>1591866.6659356249</v>
      </c>
      <c r="Q82" s="3"/>
      <c r="R82" s="61">
        <f>D82+F82+P82</f>
        <v>2141866.665935625</v>
      </c>
      <c r="S82" s="3"/>
      <c r="T82" s="61">
        <f>IF($B82&lt;($H$24*2),$H$44,(IF($B82=($H$24*2),($H$44+$H$26),0)))</f>
        <v>3768518.515513125</v>
      </c>
      <c r="U82" s="3"/>
      <c r="V82" s="61">
        <f>IF($B82&lt;=($H$24*2),$H$46,0)</f>
        <v>1543055.5546539375</v>
      </c>
      <c r="W82" s="3"/>
      <c r="X82" s="61">
        <f>T82-V82</f>
        <v>2225462.9608591874</v>
      </c>
      <c r="Y82" s="3"/>
      <c r="Z82" s="61">
        <f>X82-R82</f>
        <v>83596.29492356256</v>
      </c>
      <c r="AA82" s="7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2:39" ht="15.75">
      <c r="B83" s="58">
        <f t="shared" si="5"/>
        <v>17</v>
      </c>
      <c r="C83" s="3"/>
      <c r="D83" s="60"/>
      <c r="E83" s="3"/>
      <c r="F83" s="61">
        <f t="shared" si="6"/>
        <v>0</v>
      </c>
      <c r="G83" s="3"/>
      <c r="H83" s="61">
        <f>IF(B83&lt;=($H$24*2),$H$39,0)</f>
        <v>1129759.258853125</v>
      </c>
      <c r="I83" s="3"/>
      <c r="J83" s="61">
        <f>IF($B83&lt;=($H$24*2),$H$40,0)</f>
        <v>407407.4070825</v>
      </c>
      <c r="K83" s="3"/>
      <c r="L83" s="61">
        <f>IF($B83&lt;=($H$24*2),$H$41,0)</f>
        <v>7200</v>
      </c>
      <c r="M83" s="3"/>
      <c r="N83" s="61">
        <f>IF($B83&lt;=($H$24*2),$H$42,0)</f>
        <v>47500</v>
      </c>
      <c r="O83" s="3"/>
      <c r="P83" s="61">
        <f>SUM(H83:N83)</f>
        <v>1591866.6659356249</v>
      </c>
      <c r="Q83" s="3"/>
      <c r="R83" s="61">
        <f>D83+F83+P83</f>
        <v>1591866.6659356249</v>
      </c>
      <c r="S83" s="3"/>
      <c r="T83" s="61">
        <f>IF($B83&lt;($H$24*2),$H$44,(IF($B83=($H$24*2),($H$44+$H$26),0)))</f>
        <v>3768518.515513125</v>
      </c>
      <c r="U83" s="3"/>
      <c r="V83" s="61">
        <f>IF($B83&lt;=($H$24*2),$H$46,0)</f>
        <v>1543055.5546539375</v>
      </c>
      <c r="W83" s="3"/>
      <c r="X83" s="61">
        <f>T83-V83</f>
        <v>2225462.9608591874</v>
      </c>
      <c r="Y83" s="3"/>
      <c r="Z83" s="61">
        <f>X83-R83</f>
        <v>633596.2949235626</v>
      </c>
      <c r="AA83" s="7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2:39" ht="15.75">
      <c r="B84" s="58">
        <f t="shared" si="5"/>
        <v>18</v>
      </c>
      <c r="C84" s="3"/>
      <c r="D84" s="60"/>
      <c r="E84" s="3"/>
      <c r="F84" s="61">
        <f t="shared" si="6"/>
        <v>0</v>
      </c>
      <c r="G84" s="3"/>
      <c r="H84" s="61">
        <f>IF(B84&lt;=($H$24*2),$H$39,0)</f>
        <v>1129759.258853125</v>
      </c>
      <c r="I84" s="3"/>
      <c r="J84" s="61">
        <f>IF($B84&lt;=($H$24*2),$H$40,0)</f>
        <v>407407.4070825</v>
      </c>
      <c r="K84" s="3"/>
      <c r="L84" s="61">
        <f>IF($B84&lt;=($H$24*2),$H$41,0)</f>
        <v>7200</v>
      </c>
      <c r="M84" s="3"/>
      <c r="N84" s="61">
        <f>IF($B84&lt;=($H$24*2),$H$42,0)</f>
        <v>47500</v>
      </c>
      <c r="O84" s="3"/>
      <c r="P84" s="61">
        <f>SUM(H84:N84)</f>
        <v>1591866.6659356249</v>
      </c>
      <c r="Q84" s="3"/>
      <c r="R84" s="61">
        <f>D84+F84+P84</f>
        <v>1591866.6659356249</v>
      </c>
      <c r="S84" s="3"/>
      <c r="T84" s="61">
        <f>IF($B84&lt;($H$24*2),$H$44,(IF($B84=($H$24*2),($H$44+$H$26),0)))</f>
        <v>3768518.515513125</v>
      </c>
      <c r="U84" s="3"/>
      <c r="V84" s="61">
        <f>IF($B84&lt;=($H$24*2),$H$46,0)</f>
        <v>1543055.5546539375</v>
      </c>
      <c r="W84" s="3"/>
      <c r="X84" s="61">
        <f>T84-V84</f>
        <v>2225462.9608591874</v>
      </c>
      <c r="Y84" s="3"/>
      <c r="Z84" s="61">
        <f>X84-R84</f>
        <v>633596.2949235626</v>
      </c>
      <c r="AA84" s="7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2:39" ht="15.75">
      <c r="B85" s="58">
        <f t="shared" si="5"/>
        <v>19</v>
      </c>
      <c r="C85" s="3"/>
      <c r="D85" s="125">
        <v>50000</v>
      </c>
      <c r="E85" s="3"/>
      <c r="F85" s="61">
        <f t="shared" si="6"/>
        <v>0</v>
      </c>
      <c r="G85" s="3"/>
      <c r="H85" s="61">
        <f>IF(B85&lt;=($H$24*2),$H$39,0)</f>
        <v>1129759.258853125</v>
      </c>
      <c r="I85" s="3"/>
      <c r="J85" s="61">
        <f>IF($B85&lt;=($H$24*2),$H$40,0)</f>
        <v>407407.4070825</v>
      </c>
      <c r="K85" s="3"/>
      <c r="L85" s="61">
        <f>IF($B85&lt;=($H$24*2),$H$41,0)</f>
        <v>7200</v>
      </c>
      <c r="M85" s="3"/>
      <c r="N85" s="61">
        <f>IF($B85&lt;=($H$24*2),$H$42,0)</f>
        <v>47500</v>
      </c>
      <c r="O85" s="3"/>
      <c r="P85" s="61">
        <f>SUM(H85:N85)</f>
        <v>1591866.6659356249</v>
      </c>
      <c r="Q85" s="3"/>
      <c r="R85" s="61">
        <f>D85+F85+P85</f>
        <v>1641866.6659356249</v>
      </c>
      <c r="S85" s="3"/>
      <c r="T85" s="61">
        <f>IF($B85&lt;($H$24*2),$H$44,(IF($B85=($H$24*2),($H$44+$H$26),0)))</f>
        <v>3768518.515513125</v>
      </c>
      <c r="U85" s="3"/>
      <c r="V85" s="61">
        <f>IF($B85&lt;=($H$24*2),$H$46,0)</f>
        <v>1543055.5546539375</v>
      </c>
      <c r="W85" s="3"/>
      <c r="X85" s="61">
        <f>T85-V85</f>
        <v>2225462.9608591874</v>
      </c>
      <c r="Y85" s="3"/>
      <c r="Z85" s="61">
        <f>X85-R85</f>
        <v>583596.2949235626</v>
      </c>
      <c r="AA85" s="7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2:39" ht="15.75">
      <c r="B86" s="58">
        <f t="shared" si="5"/>
        <v>20</v>
      </c>
      <c r="C86" s="3"/>
      <c r="D86" s="125">
        <v>50001</v>
      </c>
      <c r="E86" s="3"/>
      <c r="F86" s="61">
        <f t="shared" si="6"/>
        <v>0</v>
      </c>
      <c r="G86" s="3"/>
      <c r="H86" s="61">
        <f>IF(B86&lt;=($H$24*2),$H$39,0)</f>
        <v>1129759.258853125</v>
      </c>
      <c r="I86" s="3"/>
      <c r="J86" s="61">
        <f>IF($B86&lt;=($H$24*2),$H$40,0)</f>
        <v>407407.4070825</v>
      </c>
      <c r="K86" s="3"/>
      <c r="L86" s="61">
        <f>IF($B86&lt;=($H$24*2),$H$41,0)</f>
        <v>7200</v>
      </c>
      <c r="M86" s="3"/>
      <c r="N86" s="61">
        <f>IF($B86&lt;=($H$24*2),$H$42,0)</f>
        <v>47500</v>
      </c>
      <c r="O86" s="3"/>
      <c r="P86" s="61">
        <f>SUM(H86:N86)</f>
        <v>1591866.6659356249</v>
      </c>
      <c r="Q86" s="3"/>
      <c r="R86" s="61">
        <f>D86+F86+P86</f>
        <v>1641867.6659356249</v>
      </c>
      <c r="S86" s="3"/>
      <c r="T86" s="61">
        <f>IF($B86&lt;($H$24*2),$H$44,(IF($B86=($H$24*2),($H$44+$H$26),0)))</f>
        <v>3918518.515513125</v>
      </c>
      <c r="U86" s="3"/>
      <c r="V86" s="61">
        <f>IF($B86&lt;=($H$24*2),$H$46,0)</f>
        <v>1543055.5546539375</v>
      </c>
      <c r="W86" s="3"/>
      <c r="X86" s="61">
        <f>T86-V86</f>
        <v>2375462.9608591874</v>
      </c>
      <c r="Y86" s="3"/>
      <c r="Z86" s="61">
        <f>X86-R86</f>
        <v>733595.2949235626</v>
      </c>
      <c r="AA86" s="7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2:39" ht="15.75">
      <c r="B87" s="58">
        <f t="shared" si="5"/>
        <v>21</v>
      </c>
      <c r="C87" s="3"/>
      <c r="D87" s="125"/>
      <c r="E87" s="3"/>
      <c r="F87" s="61"/>
      <c r="G87" s="3"/>
      <c r="H87" s="61"/>
      <c r="I87" s="3"/>
      <c r="J87" s="61"/>
      <c r="K87" s="3"/>
      <c r="L87" s="61"/>
      <c r="M87" s="3"/>
      <c r="N87" s="61"/>
      <c r="O87" s="3"/>
      <c r="P87" s="61"/>
      <c r="Q87" s="3"/>
      <c r="R87" s="61"/>
      <c r="S87" s="3"/>
      <c r="T87" s="61"/>
      <c r="U87" s="3"/>
      <c r="V87" s="61"/>
      <c r="W87" s="3"/>
      <c r="X87" s="61"/>
      <c r="Y87" s="3"/>
      <c r="Z87" s="61"/>
      <c r="AA87" s="7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2:39" ht="15.75">
      <c r="B88" s="58">
        <f t="shared" si="5"/>
        <v>22</v>
      </c>
      <c r="C88" s="3"/>
      <c r="D88" s="125"/>
      <c r="E88" s="3"/>
      <c r="F88" s="61"/>
      <c r="G88" s="3"/>
      <c r="H88" s="61"/>
      <c r="I88" s="3"/>
      <c r="J88" s="61"/>
      <c r="K88" s="3"/>
      <c r="L88" s="61"/>
      <c r="M88" s="3"/>
      <c r="N88" s="61"/>
      <c r="O88" s="3"/>
      <c r="P88" s="61"/>
      <c r="Q88" s="3"/>
      <c r="R88" s="61"/>
      <c r="S88" s="3"/>
      <c r="T88" s="61"/>
      <c r="U88" s="3"/>
      <c r="V88" s="61"/>
      <c r="W88" s="3"/>
      <c r="X88" s="61"/>
      <c r="Y88" s="3"/>
      <c r="Z88" s="61"/>
      <c r="AA88" s="7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2:39" ht="15.75">
      <c r="B89" s="58">
        <f t="shared" si="5"/>
        <v>23</v>
      </c>
      <c r="C89" s="3"/>
      <c r="D89" s="125"/>
      <c r="E89" s="3"/>
      <c r="F89" s="61"/>
      <c r="G89" s="3"/>
      <c r="H89" s="61"/>
      <c r="I89" s="3"/>
      <c r="J89" s="61"/>
      <c r="K89" s="3"/>
      <c r="L89" s="61"/>
      <c r="M89" s="3"/>
      <c r="N89" s="61"/>
      <c r="O89" s="3"/>
      <c r="P89" s="61"/>
      <c r="Q89" s="3"/>
      <c r="R89" s="61"/>
      <c r="S89" s="3"/>
      <c r="T89" s="61"/>
      <c r="U89" s="3"/>
      <c r="V89" s="61"/>
      <c r="W89" s="3"/>
      <c r="X89" s="61"/>
      <c r="Y89" s="3"/>
      <c r="Z89" s="61"/>
      <c r="AA89" s="7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2:39" ht="15.75">
      <c r="B90" s="58">
        <f t="shared" si="5"/>
        <v>24</v>
      </c>
      <c r="C90" s="3"/>
      <c r="D90" s="125"/>
      <c r="E90" s="3"/>
      <c r="F90" s="61"/>
      <c r="G90" s="3"/>
      <c r="H90" s="61"/>
      <c r="I90" s="3"/>
      <c r="J90" s="61"/>
      <c r="K90" s="3"/>
      <c r="L90" s="61"/>
      <c r="M90" s="3"/>
      <c r="N90" s="61"/>
      <c r="O90" s="3"/>
      <c r="P90" s="61"/>
      <c r="Q90" s="3"/>
      <c r="R90" s="61"/>
      <c r="S90" s="3"/>
      <c r="T90" s="61"/>
      <c r="U90" s="3"/>
      <c r="V90" s="61"/>
      <c r="W90" s="3"/>
      <c r="X90" s="61"/>
      <c r="Y90" s="3"/>
      <c r="Z90" s="61"/>
      <c r="AA90" s="7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2:39" ht="15.75">
      <c r="B91" s="58">
        <f t="shared" si="5"/>
        <v>25</v>
      </c>
      <c r="C91" s="3"/>
      <c r="D91" s="125"/>
      <c r="E91" s="3"/>
      <c r="F91" s="61"/>
      <c r="G91" s="3"/>
      <c r="H91" s="61"/>
      <c r="I91" s="3"/>
      <c r="J91" s="61"/>
      <c r="K91" s="3"/>
      <c r="L91" s="61"/>
      <c r="M91" s="3"/>
      <c r="N91" s="61"/>
      <c r="O91" s="3"/>
      <c r="P91" s="61"/>
      <c r="Q91" s="3"/>
      <c r="R91" s="61"/>
      <c r="S91" s="3"/>
      <c r="T91" s="61"/>
      <c r="U91" s="3"/>
      <c r="V91" s="61"/>
      <c r="W91" s="3"/>
      <c r="X91" s="61"/>
      <c r="Y91" s="3"/>
      <c r="Z91" s="61"/>
      <c r="AA91" s="7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2:39" ht="15.75">
      <c r="B92" s="58">
        <f t="shared" si="5"/>
        <v>26</v>
      </c>
      <c r="C92" s="3"/>
      <c r="D92" s="125"/>
      <c r="E92" s="3"/>
      <c r="F92" s="61"/>
      <c r="G92" s="3"/>
      <c r="H92" s="61"/>
      <c r="I92" s="3"/>
      <c r="J92" s="61"/>
      <c r="K92" s="3"/>
      <c r="L92" s="61"/>
      <c r="M92" s="3"/>
      <c r="N92" s="61"/>
      <c r="O92" s="3"/>
      <c r="P92" s="61"/>
      <c r="Q92" s="3"/>
      <c r="R92" s="61"/>
      <c r="S92" s="3"/>
      <c r="T92" s="61"/>
      <c r="U92" s="3"/>
      <c r="V92" s="61"/>
      <c r="W92" s="3"/>
      <c r="X92" s="61"/>
      <c r="Y92" s="3"/>
      <c r="Z92" s="61"/>
      <c r="AA92" s="7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2:39" ht="15.75">
      <c r="B93" s="58">
        <f t="shared" si="5"/>
        <v>27</v>
      </c>
      <c r="C93" s="3"/>
      <c r="D93" s="125"/>
      <c r="E93" s="3"/>
      <c r="F93" s="61"/>
      <c r="G93" s="3"/>
      <c r="H93" s="61"/>
      <c r="I93" s="3"/>
      <c r="J93" s="61"/>
      <c r="K93" s="3"/>
      <c r="L93" s="61"/>
      <c r="M93" s="3"/>
      <c r="N93" s="61"/>
      <c r="O93" s="3"/>
      <c r="P93" s="61"/>
      <c r="Q93" s="3"/>
      <c r="R93" s="61"/>
      <c r="S93" s="3"/>
      <c r="T93" s="61"/>
      <c r="U93" s="3"/>
      <c r="V93" s="61"/>
      <c r="W93" s="3"/>
      <c r="X93" s="61"/>
      <c r="Y93" s="3"/>
      <c r="Z93" s="61"/>
      <c r="AA93" s="7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2:39" ht="15.75">
      <c r="B94" s="58">
        <f t="shared" si="5"/>
        <v>28</v>
      </c>
      <c r="C94" s="3"/>
      <c r="D94" s="125"/>
      <c r="E94" s="3"/>
      <c r="F94" s="61"/>
      <c r="G94" s="3"/>
      <c r="H94" s="61"/>
      <c r="I94" s="3"/>
      <c r="J94" s="61"/>
      <c r="K94" s="3"/>
      <c r="L94" s="61"/>
      <c r="M94" s="3"/>
      <c r="N94" s="61"/>
      <c r="O94" s="3"/>
      <c r="P94" s="61"/>
      <c r="Q94" s="3"/>
      <c r="R94" s="61"/>
      <c r="S94" s="3"/>
      <c r="T94" s="61"/>
      <c r="U94" s="3"/>
      <c r="V94" s="61"/>
      <c r="W94" s="3"/>
      <c r="X94" s="61"/>
      <c r="Y94" s="3"/>
      <c r="Z94" s="61"/>
      <c r="AA94" s="7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2:39" ht="15.75">
      <c r="B95" s="58">
        <f t="shared" si="5"/>
        <v>29</v>
      </c>
      <c r="C95" s="3"/>
      <c r="D95" s="125"/>
      <c r="E95" s="3"/>
      <c r="F95" s="61"/>
      <c r="G95" s="3"/>
      <c r="H95" s="61"/>
      <c r="I95" s="3"/>
      <c r="J95" s="61"/>
      <c r="K95" s="3"/>
      <c r="L95" s="61"/>
      <c r="M95" s="3"/>
      <c r="N95" s="61"/>
      <c r="O95" s="3"/>
      <c r="P95" s="61"/>
      <c r="Q95" s="3"/>
      <c r="R95" s="61"/>
      <c r="S95" s="3"/>
      <c r="T95" s="61"/>
      <c r="U95" s="3"/>
      <c r="V95" s="61"/>
      <c r="W95" s="3"/>
      <c r="X95" s="61"/>
      <c r="Y95" s="3"/>
      <c r="Z95" s="61"/>
      <c r="AA95" s="7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2:39" ht="15.75">
      <c r="B96" s="58">
        <f t="shared" si="5"/>
        <v>30</v>
      </c>
      <c r="C96" s="3"/>
      <c r="D96" s="125"/>
      <c r="E96" s="3"/>
      <c r="F96" s="61"/>
      <c r="G96" s="3"/>
      <c r="H96" s="61"/>
      <c r="I96" s="3"/>
      <c r="J96" s="61"/>
      <c r="K96" s="3"/>
      <c r="L96" s="61"/>
      <c r="M96" s="3"/>
      <c r="N96" s="61"/>
      <c r="O96" s="3"/>
      <c r="P96" s="61"/>
      <c r="Q96" s="3"/>
      <c r="R96" s="61"/>
      <c r="S96" s="3"/>
      <c r="T96" s="61"/>
      <c r="U96" s="3"/>
      <c r="V96" s="61"/>
      <c r="W96" s="3"/>
      <c r="X96" s="61"/>
      <c r="Y96" s="3"/>
      <c r="Z96" s="61"/>
      <c r="AA96" s="7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2:39" ht="15.75">
      <c r="B97" s="57"/>
      <c r="C97" s="3"/>
      <c r="D97" s="8"/>
      <c r="E97" s="3"/>
      <c r="F97" s="8"/>
      <c r="G97" s="3"/>
      <c r="H97" s="8"/>
      <c r="I97" s="3"/>
      <c r="J97" s="8"/>
      <c r="K97" s="3"/>
      <c r="L97" s="8"/>
      <c r="M97" s="3"/>
      <c r="N97" s="8"/>
      <c r="O97" s="3"/>
      <c r="P97" s="8"/>
      <c r="Q97" s="3"/>
      <c r="R97" s="8"/>
      <c r="S97" s="3"/>
      <c r="T97" s="8"/>
      <c r="U97" s="3"/>
      <c r="V97" s="8"/>
      <c r="W97" s="3"/>
      <c r="X97" s="8"/>
      <c r="Y97" s="3"/>
      <c r="Z97" s="8"/>
      <c r="AA97" s="7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2:39" ht="15.75">
      <c r="B98" s="57"/>
      <c r="C98" s="3"/>
      <c r="D98" s="8"/>
      <c r="E98" s="3"/>
      <c r="F98" s="8"/>
      <c r="G98" s="3"/>
      <c r="H98" s="8"/>
      <c r="I98" s="3"/>
      <c r="J98" s="8"/>
      <c r="K98" s="3"/>
      <c r="L98" s="8"/>
      <c r="M98" s="3"/>
      <c r="N98" s="8"/>
      <c r="O98" s="3"/>
      <c r="P98" s="8"/>
      <c r="Q98" s="3"/>
      <c r="R98" s="8"/>
      <c r="S98" s="3"/>
      <c r="T98" s="8"/>
      <c r="U98" s="3"/>
      <c r="V98" s="8"/>
      <c r="W98" s="3"/>
      <c r="X98" s="8"/>
      <c r="Y98" s="3"/>
      <c r="Z98" s="8"/>
      <c r="AA98" s="7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2:39" ht="15.75">
      <c r="B99" s="63" t="s">
        <v>48</v>
      </c>
      <c r="C99" s="64"/>
      <c r="D99" s="65">
        <f>SUM(D66:D96)</f>
        <v>4650001</v>
      </c>
      <c r="E99" s="64"/>
      <c r="F99" s="66">
        <f>SUM(F66:F96)</f>
        <v>0</v>
      </c>
      <c r="G99" s="64"/>
      <c r="H99" s="65">
        <f>SUM(H66:H96)</f>
        <v>22595185.1770625</v>
      </c>
      <c r="I99" s="64"/>
      <c r="J99" s="65">
        <f>SUM(J66:J96)</f>
        <v>8148148.14165</v>
      </c>
      <c r="K99" s="64"/>
      <c r="L99" s="65">
        <f>SUM(L66:L96)</f>
        <v>144000</v>
      </c>
      <c r="M99" s="64"/>
      <c r="N99" s="65">
        <f>SUM(N66:N96)</f>
        <v>950000</v>
      </c>
      <c r="O99" s="64"/>
      <c r="P99" s="65">
        <f>SUM(P66:P96)</f>
        <v>31837333.31871249</v>
      </c>
      <c r="Q99" s="64"/>
      <c r="R99" s="65">
        <f>SUM(R66:R96)</f>
        <v>36487334.318712495</v>
      </c>
      <c r="S99" s="64"/>
      <c r="T99" s="65">
        <f>SUM(T66:T96)</f>
        <v>75520370.31026247</v>
      </c>
      <c r="U99" s="64"/>
      <c r="V99" s="65">
        <f>SUM(V66:V96)</f>
        <v>30861111.09307876</v>
      </c>
      <c r="W99" s="64"/>
      <c r="X99" s="65">
        <f>SUM(X66:X96)</f>
        <v>44659259.21718375</v>
      </c>
      <c r="Y99" s="64"/>
      <c r="Z99" s="65">
        <f>SUM(Z66:Z96)</f>
        <v>8171924.898471251</v>
      </c>
      <c r="AA99" s="67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2:39" ht="15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2:39" ht="15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2:39" ht="15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2:39" ht="15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2:39" ht="15.75">
      <c r="B104" s="68" t="s">
        <v>49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 t="s">
        <v>50</v>
      </c>
      <c r="Q104" s="3"/>
      <c r="R104" s="42" t="str">
        <f>J25</f>
        <v>EUR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2:39" ht="15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2:39" ht="15.75">
      <c r="B106" s="44"/>
      <c r="C106" s="45"/>
      <c r="D106" s="45"/>
      <c r="E106" s="45"/>
      <c r="F106" s="45"/>
      <c r="G106" s="44"/>
      <c r="H106" s="45"/>
      <c r="I106" s="44"/>
      <c r="J106" s="45"/>
      <c r="K106" s="44"/>
      <c r="L106" s="45"/>
      <c r="M106" s="44"/>
      <c r="N106" s="45"/>
      <c r="O106" s="44"/>
      <c r="P106" s="45"/>
      <c r="Q106" s="44"/>
      <c r="R106" s="45"/>
      <c r="S106" s="44"/>
      <c r="T106" s="45"/>
      <c r="U106" s="44"/>
      <c r="V106" s="218"/>
      <c r="W106" s="45"/>
      <c r="X106" s="45"/>
      <c r="Y106" s="44"/>
      <c r="Z106" s="221"/>
      <c r="AA106" s="44"/>
      <c r="AB106" s="45"/>
      <c r="AC106" s="44"/>
      <c r="AD106" s="45"/>
      <c r="AE106" s="44"/>
      <c r="AF106" s="45"/>
      <c r="AG106" s="44"/>
      <c r="AH106" s="45"/>
      <c r="AI106" s="44"/>
      <c r="AJ106" s="45"/>
      <c r="AK106" s="47"/>
      <c r="AL106" s="3"/>
      <c r="AM106" s="3"/>
    </row>
    <row r="107" spans="2:39" ht="15.75">
      <c r="B107" s="69"/>
      <c r="C107" s="70"/>
      <c r="D107" s="71" t="s">
        <v>51</v>
      </c>
      <c r="E107" s="70"/>
      <c r="F107" s="70"/>
      <c r="G107" s="69"/>
      <c r="H107" s="72">
        <v>1</v>
      </c>
      <c r="I107" s="69"/>
      <c r="J107" s="72">
        <f>H107+1</f>
        <v>2</v>
      </c>
      <c r="K107" s="69"/>
      <c r="L107" s="72">
        <f>J107+1</f>
        <v>3</v>
      </c>
      <c r="M107" s="69"/>
      <c r="N107" s="72">
        <f>L107+1</f>
        <v>4</v>
      </c>
      <c r="O107" s="69"/>
      <c r="P107" s="72">
        <f>N107+1</f>
        <v>5</v>
      </c>
      <c r="Q107" s="69"/>
      <c r="R107" s="72">
        <f>P107+1</f>
        <v>6</v>
      </c>
      <c r="S107" s="69"/>
      <c r="T107" s="72">
        <f>R107+1</f>
        <v>7</v>
      </c>
      <c r="U107" s="69"/>
      <c r="V107" s="219">
        <f>T107+1</f>
        <v>8</v>
      </c>
      <c r="W107" s="70"/>
      <c r="X107" s="72">
        <f>V107+1</f>
        <v>9</v>
      </c>
      <c r="Y107" s="69"/>
      <c r="Z107" s="222">
        <f>X107+1</f>
        <v>10</v>
      </c>
      <c r="AA107" s="69"/>
      <c r="AB107" s="72">
        <f>Z107+1</f>
        <v>11</v>
      </c>
      <c r="AC107" s="69"/>
      <c r="AD107" s="72">
        <f>AB107+1</f>
        <v>12</v>
      </c>
      <c r="AE107" s="69"/>
      <c r="AF107" s="72">
        <f>AD107+1</f>
        <v>13</v>
      </c>
      <c r="AG107" s="69"/>
      <c r="AH107" s="72">
        <f>AF107+1</f>
        <v>14</v>
      </c>
      <c r="AI107" s="69"/>
      <c r="AJ107" s="72">
        <f>AH107+1</f>
        <v>15</v>
      </c>
      <c r="AK107" s="32"/>
      <c r="AL107" s="3"/>
      <c r="AM107" s="3"/>
    </row>
    <row r="108" spans="2:39" ht="15.75">
      <c r="B108" s="8"/>
      <c r="C108" s="6"/>
      <c r="D108" s="6"/>
      <c r="E108" s="6"/>
      <c r="F108" s="6"/>
      <c r="G108" s="8"/>
      <c r="H108" s="6"/>
      <c r="I108" s="8"/>
      <c r="J108" s="6"/>
      <c r="K108" s="8"/>
      <c r="L108" s="6"/>
      <c r="M108" s="8"/>
      <c r="N108" s="6"/>
      <c r="O108" s="8"/>
      <c r="P108" s="6"/>
      <c r="Q108" s="73"/>
      <c r="R108" s="6"/>
      <c r="S108" s="8"/>
      <c r="T108" s="6"/>
      <c r="U108" s="8"/>
      <c r="V108" s="220"/>
      <c r="W108" s="216"/>
      <c r="X108" s="6"/>
      <c r="Y108" s="8"/>
      <c r="Z108" s="7"/>
      <c r="AA108" s="8"/>
      <c r="AB108" s="6"/>
      <c r="AC108" s="8"/>
      <c r="AD108" s="6"/>
      <c r="AE108" s="8"/>
      <c r="AF108" s="6"/>
      <c r="AG108" s="8"/>
      <c r="AH108" s="6"/>
      <c r="AI108" s="8"/>
      <c r="AJ108" s="6"/>
      <c r="AK108" s="7"/>
      <c r="AL108" s="3"/>
      <c r="AM108" s="3"/>
    </row>
    <row r="109" spans="2:39" ht="15.75">
      <c r="B109" s="74" t="s">
        <v>52</v>
      </c>
      <c r="C109" s="6"/>
      <c r="D109" s="6"/>
      <c r="E109" s="6"/>
      <c r="F109" s="6"/>
      <c r="G109" s="8"/>
      <c r="H109" s="75">
        <f>IF(H107&lt;=($H$35/2),($H$34/($H$35/2)),0)</f>
        <v>120000</v>
      </c>
      <c r="I109" s="8"/>
      <c r="J109" s="75">
        <f>IF(J107&lt;=($H$35/2),($H$34/($H$35/2)),0)</f>
        <v>120000</v>
      </c>
      <c r="K109" s="8"/>
      <c r="L109" s="75">
        <f>IF(L107&lt;=($H$35/2),($H$34/($H$35/2)),0)</f>
        <v>120000</v>
      </c>
      <c r="M109" s="8"/>
      <c r="N109" s="75">
        <f>IF(N107&lt;=($H$35/2),($H$34/($H$35/2)),0)</f>
        <v>120000</v>
      </c>
      <c r="O109" s="8"/>
      <c r="P109" s="75">
        <f>IF(P107&lt;=($H$35/2),($H$34/($H$35/2)),0)</f>
        <v>120000</v>
      </c>
      <c r="Q109" s="8"/>
      <c r="R109" s="75">
        <f>IF(R107&lt;=($H$35/2),($H$34/($H$35/2)),0)</f>
        <v>120000</v>
      </c>
      <c r="S109" s="8"/>
      <c r="T109" s="75">
        <f>IF(T107&lt;=($H$35/2),($H$34/($H$35/2)),0)</f>
        <v>120000</v>
      </c>
      <c r="U109" s="8"/>
      <c r="V109" s="24">
        <f>IF(V107&lt;=($H$35/2),($H$34/($H$35/2)),0)</f>
        <v>120000</v>
      </c>
      <c r="W109" s="75"/>
      <c r="X109" s="75">
        <f>IF(X107&lt;=($H$35/2),($H$34/($H$35/2)),0)</f>
        <v>120000</v>
      </c>
      <c r="Y109" s="223"/>
      <c r="Z109" s="224">
        <f>IF(Z107&lt;=($H$35/2),($H$34/($H$35/2)),0)</f>
        <v>120000</v>
      </c>
      <c r="AA109" s="8"/>
      <c r="AB109" s="75">
        <f>IF(AB107&lt;=($H$35/2),($H$34/($H$35/2)),0)</f>
        <v>0</v>
      </c>
      <c r="AC109" s="8"/>
      <c r="AD109" s="75">
        <f>IF(AD107&lt;=($H$35/2),($H$34/($H$35/2)),0)</f>
        <v>0</v>
      </c>
      <c r="AE109" s="8"/>
      <c r="AF109" s="75">
        <f>IF(AF107&lt;=($H$35/2),($H$34/($H$35/2)),0)</f>
        <v>0</v>
      </c>
      <c r="AG109" s="8"/>
      <c r="AH109" s="75">
        <f>IF(AH107&lt;=($H$35/2),($H$34/($H$35/2)),0)</f>
        <v>0</v>
      </c>
      <c r="AI109" s="8"/>
      <c r="AJ109" s="75">
        <f>IF(AJ107&lt;=($H$35/2),($H$34/($H$35/2)),0)</f>
        <v>0</v>
      </c>
      <c r="AK109" s="7"/>
      <c r="AL109" s="3"/>
      <c r="AM109" s="3"/>
    </row>
    <row r="110" spans="2:39" ht="15.75">
      <c r="B110" s="74" t="s">
        <v>53</v>
      </c>
      <c r="C110" s="6"/>
      <c r="D110" s="6"/>
      <c r="E110" s="6"/>
      <c r="F110" s="6"/>
      <c r="G110" s="8"/>
      <c r="H110" s="75">
        <f>H34*H36</f>
        <v>84000.00000000001</v>
      </c>
      <c r="I110" s="8"/>
      <c r="J110" s="75">
        <f>(+H34-H109)*H36</f>
        <v>75600</v>
      </c>
      <c r="K110" s="8"/>
      <c r="L110" s="75">
        <f>(+H34-H109-J109)*H36</f>
        <v>67200</v>
      </c>
      <c r="M110" s="8"/>
      <c r="N110" s="75">
        <f>(+H34-H109-J109-L109)*H36</f>
        <v>58800.00000000001</v>
      </c>
      <c r="O110" s="8"/>
      <c r="P110" s="75">
        <f>(+H34-H109-J109-L109-N109)*H36</f>
        <v>50400.00000000001</v>
      </c>
      <c r="Q110" s="8"/>
      <c r="R110" s="75">
        <f>(+H34-H109-J109-L109-N109-P109)*H36</f>
        <v>42000.00000000001</v>
      </c>
      <c r="S110" s="8"/>
      <c r="T110" s="75">
        <f>(+H34-H109-J109-L109-N109-P109-R109)*H36</f>
        <v>33600</v>
      </c>
      <c r="U110" s="8"/>
      <c r="V110" s="24">
        <f>(+J34-J109-L109-N109-P109-R109-T109)*J36</f>
        <v>0</v>
      </c>
      <c r="W110" s="75"/>
      <c r="X110" s="75">
        <f>(+L34-L109-N109-P109-R109-T109-V109)*L36</f>
        <v>0</v>
      </c>
      <c r="Y110" s="223"/>
      <c r="Z110" s="224">
        <f>IF(Z108&lt;=($H$35/2),($H$34/($H$35/2)),0)</f>
        <v>120000</v>
      </c>
      <c r="AA110" s="8"/>
      <c r="AB110" s="75">
        <f>(+H34-H109-J109-L109-N109-P109-R109-T109-V109-X109-Z109)*H36</f>
        <v>0</v>
      </c>
      <c r="AC110" s="8"/>
      <c r="AD110" s="75">
        <f>(+H34-H109-J109-L109-N109-P109-R109-T109-V109-X109-Z109-AB109)*H36</f>
        <v>0</v>
      </c>
      <c r="AE110" s="8"/>
      <c r="AF110" s="75">
        <f>(+H34-H109-J109-L109-N109-P109-R109-T109-V109-X109-Z109-AB109-AD109)*H36</f>
        <v>0</v>
      </c>
      <c r="AG110" s="8"/>
      <c r="AH110" s="75">
        <f>(+H34-H109-J109-L109-N109-P109-R109-T109-V109-X109-Z109-AB109-AD109-AF109)*H36</f>
        <v>0</v>
      </c>
      <c r="AI110" s="8"/>
      <c r="AJ110" s="75">
        <f>(+H34-H109-J109-L109-N109-P109-R109-T109-V109-X109-Z109-AB109-AD109-AF109-AH109)*H36</f>
        <v>0</v>
      </c>
      <c r="AK110" s="7"/>
      <c r="AL110" s="3"/>
      <c r="AM110" s="3"/>
    </row>
    <row r="111" spans="2:39" ht="15.75">
      <c r="B111" s="8"/>
      <c r="C111" s="6"/>
      <c r="D111" s="6"/>
      <c r="E111" s="6"/>
      <c r="F111" s="6"/>
      <c r="G111" s="8"/>
      <c r="H111" s="6"/>
      <c r="I111" s="8"/>
      <c r="J111" s="6"/>
      <c r="K111" s="8"/>
      <c r="L111" s="6"/>
      <c r="M111" s="8"/>
      <c r="N111" s="6"/>
      <c r="O111" s="8"/>
      <c r="P111" s="6"/>
      <c r="Q111" s="8"/>
      <c r="R111" s="6"/>
      <c r="S111" s="8"/>
      <c r="T111" s="6"/>
      <c r="U111" s="8"/>
      <c r="V111" s="220"/>
      <c r="W111" s="75"/>
      <c r="X111" s="6"/>
      <c r="Y111" s="223"/>
      <c r="Z111" s="224"/>
      <c r="AA111" s="8"/>
      <c r="AB111" s="6"/>
      <c r="AC111" s="8"/>
      <c r="AD111" s="6"/>
      <c r="AE111" s="8"/>
      <c r="AF111" s="6"/>
      <c r="AG111" s="8"/>
      <c r="AH111" s="6"/>
      <c r="AI111" s="8"/>
      <c r="AJ111" s="6"/>
      <c r="AK111" s="7"/>
      <c r="AL111" s="3"/>
      <c r="AM111" s="3"/>
    </row>
    <row r="112" spans="2:39" ht="15.75">
      <c r="B112" s="74" t="s">
        <v>54</v>
      </c>
      <c r="C112" s="6"/>
      <c r="D112" s="6"/>
      <c r="E112" s="6"/>
      <c r="F112" s="6"/>
      <c r="G112" s="8"/>
      <c r="H112" s="75">
        <f>H109+H110</f>
        <v>204000</v>
      </c>
      <c r="I112" s="8"/>
      <c r="J112" s="75">
        <f>J109+J110</f>
        <v>195600</v>
      </c>
      <c r="K112" s="8"/>
      <c r="L112" s="75">
        <f>L109+L110</f>
        <v>187200</v>
      </c>
      <c r="M112" s="8"/>
      <c r="N112" s="75">
        <f>N109+N110</f>
        <v>178800</v>
      </c>
      <c r="O112" s="8"/>
      <c r="P112" s="75">
        <f>P109+P110</f>
        <v>170400</v>
      </c>
      <c r="Q112" s="8"/>
      <c r="R112" s="75">
        <f>R109+R110</f>
        <v>162000</v>
      </c>
      <c r="S112" s="8"/>
      <c r="T112" s="75">
        <f>T109+T110</f>
        <v>153600</v>
      </c>
      <c r="U112" s="8"/>
      <c r="V112" s="24">
        <f>V109+V110</f>
        <v>120000</v>
      </c>
      <c r="W112" s="75"/>
      <c r="X112" s="75">
        <f>X109+X110</f>
        <v>120000</v>
      </c>
      <c r="Y112" s="223"/>
      <c r="Z112" s="224">
        <f>IF(Z110&lt;=($H$35/2),($H$34/($H$35/2)),0)</f>
        <v>0</v>
      </c>
      <c r="AA112" s="8"/>
      <c r="AB112" s="75">
        <f>AB109+AB110</f>
        <v>0</v>
      </c>
      <c r="AC112" s="8"/>
      <c r="AD112" s="75">
        <f>AD109+AD110</f>
        <v>0</v>
      </c>
      <c r="AE112" s="8"/>
      <c r="AF112" s="75">
        <f>AF109+AF110</f>
        <v>0</v>
      </c>
      <c r="AG112" s="8"/>
      <c r="AH112" s="75">
        <f>AH109+AH110</f>
        <v>0</v>
      </c>
      <c r="AI112" s="8"/>
      <c r="AJ112" s="75">
        <f>AJ109+AJ110</f>
        <v>0</v>
      </c>
      <c r="AK112" s="7"/>
      <c r="AL112" s="3"/>
      <c r="AM112" s="3"/>
    </row>
    <row r="113" spans="2:39" ht="15.75">
      <c r="B113" s="76"/>
      <c r="C113" s="38"/>
      <c r="D113" s="38"/>
      <c r="E113" s="38"/>
      <c r="F113" s="38"/>
      <c r="G113" s="76"/>
      <c r="H113" s="38"/>
      <c r="I113" s="76"/>
      <c r="J113" s="38"/>
      <c r="K113" s="76"/>
      <c r="L113" s="38"/>
      <c r="M113" s="76"/>
      <c r="N113" s="38"/>
      <c r="O113" s="76"/>
      <c r="P113" s="38"/>
      <c r="Q113" s="76"/>
      <c r="R113" s="38"/>
      <c r="S113" s="76"/>
      <c r="T113" s="38"/>
      <c r="U113" s="76"/>
      <c r="V113" s="208"/>
      <c r="W113" s="217"/>
      <c r="X113" s="38"/>
      <c r="Y113" s="76"/>
      <c r="Z113" s="41"/>
      <c r="AA113" s="76"/>
      <c r="AB113" s="38"/>
      <c r="AC113" s="76"/>
      <c r="AD113" s="38"/>
      <c r="AE113" s="76"/>
      <c r="AF113" s="38"/>
      <c r="AG113" s="76"/>
      <c r="AH113" s="38"/>
      <c r="AI113" s="76"/>
      <c r="AJ113" s="38"/>
      <c r="AK113" s="41"/>
      <c r="AL113" s="3"/>
      <c r="AM113" s="3"/>
    </row>
    <row r="114" spans="2:39" ht="15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2:39" ht="15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2:39" ht="15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2:39" ht="15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2:39" ht="15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2:39" ht="15.75">
      <c r="B119" s="4" t="s">
        <v>55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4" t="s">
        <v>50</v>
      </c>
      <c r="U119" s="3"/>
      <c r="V119" s="42" t="str">
        <f>J25</f>
        <v>EUR</v>
      </c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2:39" ht="15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2:39" ht="15.75">
      <c r="B121" s="44"/>
      <c r="C121" s="45"/>
      <c r="D121" s="45"/>
      <c r="E121" s="45"/>
      <c r="F121" s="45"/>
      <c r="G121" s="20"/>
      <c r="H121" s="12"/>
      <c r="I121" s="12"/>
      <c r="J121" s="20"/>
      <c r="K121" s="12"/>
      <c r="L121" s="20"/>
      <c r="M121" s="12"/>
      <c r="N121" s="20"/>
      <c r="O121" s="12"/>
      <c r="P121" s="20"/>
      <c r="Q121" s="12"/>
      <c r="R121" s="20"/>
      <c r="S121" s="12"/>
      <c r="T121" s="20"/>
      <c r="U121" s="12"/>
      <c r="V121" s="20"/>
      <c r="W121" s="12"/>
      <c r="X121" s="20"/>
      <c r="Y121" s="12"/>
      <c r="Z121" s="20"/>
      <c r="AA121" s="12"/>
      <c r="AB121" s="20"/>
      <c r="AC121" s="12"/>
      <c r="AD121" s="20"/>
      <c r="AE121" s="12"/>
      <c r="AF121" s="20"/>
      <c r="AG121" s="12"/>
      <c r="AH121" s="20"/>
      <c r="AI121" s="12"/>
      <c r="AJ121" s="20"/>
      <c r="AK121" s="47"/>
      <c r="AL121" s="3"/>
      <c r="AM121" s="3"/>
    </row>
    <row r="122" spans="2:39" ht="15.75">
      <c r="B122" s="50"/>
      <c r="C122" s="49"/>
      <c r="D122" s="77" t="s">
        <v>51</v>
      </c>
      <c r="E122" s="49"/>
      <c r="F122" s="49"/>
      <c r="G122" s="25"/>
      <c r="H122" s="78" t="s">
        <v>56</v>
      </c>
      <c r="I122" s="79"/>
      <c r="J122" s="80" t="s">
        <v>57</v>
      </c>
      <c r="K122" s="79"/>
      <c r="L122" s="80" t="s">
        <v>58</v>
      </c>
      <c r="M122" s="79"/>
      <c r="N122" s="80" t="s">
        <v>59</v>
      </c>
      <c r="O122" s="79"/>
      <c r="P122" s="80" t="s">
        <v>60</v>
      </c>
      <c r="Q122" s="79"/>
      <c r="R122" s="80" t="s">
        <v>61</v>
      </c>
      <c r="S122" s="79"/>
      <c r="T122" s="80" t="s">
        <v>62</v>
      </c>
      <c r="U122" s="79"/>
      <c r="V122" s="80" t="s">
        <v>63</v>
      </c>
      <c r="W122" s="79"/>
      <c r="X122" s="80" t="s">
        <v>64</v>
      </c>
      <c r="Y122" s="79"/>
      <c r="Z122" s="80" t="s">
        <v>65</v>
      </c>
      <c r="AA122" s="79"/>
      <c r="AB122" s="80" t="s">
        <v>66</v>
      </c>
      <c r="AC122" s="79"/>
      <c r="AD122" s="80" t="s">
        <v>67</v>
      </c>
      <c r="AE122" s="79"/>
      <c r="AF122" s="80" t="s">
        <v>68</v>
      </c>
      <c r="AG122" s="79"/>
      <c r="AH122" s="80" t="s">
        <v>69</v>
      </c>
      <c r="AI122" s="79"/>
      <c r="AJ122" s="81" t="s">
        <v>70</v>
      </c>
      <c r="AK122" s="32"/>
      <c r="AL122" s="3"/>
      <c r="AM122" s="3"/>
    </row>
    <row r="123" spans="2:39" ht="15.75">
      <c r="B123" s="56"/>
      <c r="C123" s="18"/>
      <c r="D123" s="18"/>
      <c r="E123" s="18"/>
      <c r="F123" s="18"/>
      <c r="G123" s="56"/>
      <c r="H123" s="18"/>
      <c r="I123" s="18"/>
      <c r="J123" s="56"/>
      <c r="K123" s="18"/>
      <c r="L123" s="56"/>
      <c r="M123" s="18"/>
      <c r="N123" s="56"/>
      <c r="O123" s="18"/>
      <c r="P123" s="56"/>
      <c r="Q123" s="18"/>
      <c r="R123" s="56"/>
      <c r="S123" s="18"/>
      <c r="T123" s="56"/>
      <c r="U123" s="18"/>
      <c r="V123" s="56"/>
      <c r="W123" s="18"/>
      <c r="X123" s="56"/>
      <c r="Y123" s="18"/>
      <c r="Z123" s="56"/>
      <c r="AA123" s="18"/>
      <c r="AB123" s="56"/>
      <c r="AC123" s="18"/>
      <c r="AD123" s="56"/>
      <c r="AE123" s="18"/>
      <c r="AF123" s="56"/>
      <c r="AG123" s="18"/>
      <c r="AH123" s="56"/>
      <c r="AI123" s="18"/>
      <c r="AJ123" s="56"/>
      <c r="AK123" s="82"/>
      <c r="AL123" s="3"/>
      <c r="AM123" s="3"/>
    </row>
    <row r="124" spans="2:39" ht="15.75">
      <c r="B124" s="74" t="s">
        <v>71</v>
      </c>
      <c r="C124" s="6"/>
      <c r="D124" s="6"/>
      <c r="E124" s="6"/>
      <c r="F124" s="6"/>
      <c r="G124" s="8"/>
      <c r="H124" s="75">
        <f>IF(H$107&lt;=($H$24),$H$25,0)</f>
        <v>1500000</v>
      </c>
      <c r="I124" s="6"/>
      <c r="J124" s="61">
        <f>IF(J$107&lt;=($H$24),$H$25,0)</f>
        <v>1500000</v>
      </c>
      <c r="K124" s="6"/>
      <c r="L124" s="61">
        <f>IF(L$107&lt;=($H$24),$H$25,0)</f>
        <v>1500000</v>
      </c>
      <c r="M124" s="6"/>
      <c r="N124" s="61">
        <f>IF(N$107&lt;=($H$24),$H$25,0)</f>
        <v>1500000</v>
      </c>
      <c r="O124" s="6"/>
      <c r="P124" s="61">
        <f>IF(P$107&lt;=($H$24),$H$25,0)</f>
        <v>1500000</v>
      </c>
      <c r="Q124" s="6"/>
      <c r="R124" s="61">
        <f>IF(R$107&lt;=($H$24),$H$25,0)</f>
        <v>1500000</v>
      </c>
      <c r="S124" s="6"/>
      <c r="T124" s="61">
        <f>IF(T$107&lt;=($H$24),$H$25,0)</f>
        <v>1500000</v>
      </c>
      <c r="U124" s="6"/>
      <c r="V124" s="61">
        <f>IF(V$107&lt;=($H$24),$H$25,0)</f>
        <v>1500000</v>
      </c>
      <c r="W124" s="6"/>
      <c r="X124" s="61">
        <f>IF(X$107&lt;=($H$24),$H$25,0)</f>
        <v>1500000</v>
      </c>
      <c r="Y124" s="6"/>
      <c r="Z124" s="61">
        <f>IF(Z$107&lt;=($H$24),$H$25,0)</f>
        <v>1500000</v>
      </c>
      <c r="AA124" s="6"/>
      <c r="AB124" s="61"/>
      <c r="AC124" s="6"/>
      <c r="AD124" s="61"/>
      <c r="AE124" s="6"/>
      <c r="AF124" s="61"/>
      <c r="AG124" s="6"/>
      <c r="AH124" s="61"/>
      <c r="AI124" s="6"/>
      <c r="AJ124" s="61"/>
      <c r="AK124" s="7"/>
      <c r="AL124" s="3"/>
      <c r="AM124" s="3"/>
    </row>
    <row r="125" spans="2:39" ht="15.75">
      <c r="B125" s="74" t="s">
        <v>72</v>
      </c>
      <c r="C125" s="6"/>
      <c r="D125" s="6"/>
      <c r="E125" s="6"/>
      <c r="F125" s="6"/>
      <c r="G125" s="8"/>
      <c r="H125" s="75">
        <f>IF(H$107&lt;=($H$24),$H$27,0)</f>
        <v>1500000</v>
      </c>
      <c r="I125" s="6"/>
      <c r="J125" s="61">
        <f>IF(J$107&lt;=($H$24),$H$27,0)</f>
        <v>1500000</v>
      </c>
      <c r="K125" s="6"/>
      <c r="L125" s="61">
        <f>IF(L$107&lt;=($H$24),$H$27,0)</f>
        <v>1500000</v>
      </c>
      <c r="M125" s="6"/>
      <c r="N125" s="61">
        <f>IF(N$107&lt;=($H$24),$H$27,0)</f>
        <v>1500000</v>
      </c>
      <c r="O125" s="6"/>
      <c r="P125" s="61">
        <f>IF(P$107&lt;=($H$24),$H$27,0)</f>
        <v>1500000</v>
      </c>
      <c r="Q125" s="6"/>
      <c r="R125" s="61">
        <f>IF(R$107&lt;=($H$24),$H$27,0)</f>
        <v>1500000</v>
      </c>
      <c r="S125" s="6"/>
      <c r="T125" s="61">
        <f>IF(T$107&lt;=($H$24),$H$27,0)</f>
        <v>1500000</v>
      </c>
      <c r="U125" s="6"/>
      <c r="V125" s="61">
        <f>IF(V$107&lt;=($H$24),$H$27,0)</f>
        <v>1500000</v>
      </c>
      <c r="W125" s="6"/>
      <c r="X125" s="61">
        <f>IF(X$107&lt;=($H$24),$H$27,0)</f>
        <v>1500000</v>
      </c>
      <c r="Y125" s="6"/>
      <c r="Z125" s="61">
        <f>IF(Z$107&lt;=($H$24),$H$27,0)</f>
        <v>1500000</v>
      </c>
      <c r="AA125" s="6"/>
      <c r="AB125" s="61"/>
      <c r="AC125" s="6"/>
      <c r="AD125" s="61"/>
      <c r="AE125" s="6"/>
      <c r="AF125" s="61"/>
      <c r="AG125" s="6"/>
      <c r="AH125" s="61"/>
      <c r="AI125" s="6"/>
      <c r="AJ125" s="61"/>
      <c r="AK125" s="7"/>
      <c r="AL125" s="3"/>
      <c r="AM125" s="3"/>
    </row>
    <row r="126" spans="2:39" ht="15.75">
      <c r="B126" s="74" t="s">
        <v>73</v>
      </c>
      <c r="C126" s="6"/>
      <c r="D126" s="6"/>
      <c r="E126" s="6"/>
      <c r="F126" s="6"/>
      <c r="G126" s="8"/>
      <c r="H126" s="75">
        <f>IF(H$107&lt;=($H$24),$D$67+$D$68,0)</f>
        <v>0</v>
      </c>
      <c r="I126" s="6"/>
      <c r="J126" s="61">
        <f>IF(J$107&lt;=($H$24),$D$67+$D$68+$D$69+$D$70,0)</f>
        <v>250000</v>
      </c>
      <c r="K126" s="6"/>
      <c r="L126" s="61">
        <f>IF(L$107&lt;=($H$24),$D$67+$D$68+$D$69+$D$70+$D$71+$D$72,0)</f>
        <v>250000</v>
      </c>
      <c r="M126" s="6"/>
      <c r="N126" s="61">
        <f>IF(N$107&lt;=($H$24),$D$67+$D$68+$D$69+$D$70+$D$71+$D$72+$D$73+$D$74,0)</f>
        <v>500000</v>
      </c>
      <c r="O126" s="6"/>
      <c r="P126" s="61">
        <f>IF(P$107&lt;=($H$24),$D$67+$D$68+$D$69+$D$70+$D$71+$D$72+$D$73+$D$74+$D$75+$D$76,0)</f>
        <v>750000</v>
      </c>
      <c r="Q126" s="6"/>
      <c r="R126" s="61">
        <f>IF(R$107&lt;=($H$24),$D$67+$D$68+$D$69+$D$70+$D$71+$D$72+$D$73+$D$74+$D$75+$D$76+$D$77+$D$78,0)</f>
        <v>750000</v>
      </c>
      <c r="S126" s="6"/>
      <c r="T126" s="61">
        <f>IF(T$107&lt;=($H$24),($D$67+$D$68+$D$69+$D$70+$D$71+$D$72+$D$73+$D$74+$D$75+$D$76+$D$77+$D$78+$D$79+$D$80),0)</f>
        <v>1000000</v>
      </c>
      <c r="U126" s="6"/>
      <c r="V126" s="61">
        <f>IF(V$107&lt;=($H$24),$D$67+$D$68+$D$69+$D$70+$D$71+$D$72+$D$73+$D$74+$D$75+$D$76+$D$77+$D$78+$D$79+$D$80+$D$81+$D$82,0)</f>
        <v>1550000</v>
      </c>
      <c r="W126" s="6"/>
      <c r="X126" s="61">
        <f>IF(X$107&lt;=($H$24),$D$67+$D$68+$D$69+$D$70+$D$71+$D$72+$D$73+$D$74+$D$75+$D$76+$D$77+$D$78+$D$79+$D$80+$D$81+$D$82,0)</f>
        <v>1550000</v>
      </c>
      <c r="Y126" s="6"/>
      <c r="Z126" s="61">
        <f>IF(Z$107&lt;=($H$24),$D$67+$D$68+$D$69+$D$70+$D$71+$D$72+$D$73+$D$74+$D$75+$D$76+$D$77+$D$78+$D$79+$D$80+$D$81+$D$82,0)</f>
        <v>1550000</v>
      </c>
      <c r="AA126" s="6"/>
      <c r="AB126" s="61"/>
      <c r="AC126" s="6"/>
      <c r="AD126" s="61"/>
      <c r="AE126" s="6"/>
      <c r="AF126" s="61"/>
      <c r="AG126" s="6"/>
      <c r="AH126" s="61"/>
      <c r="AI126" s="6"/>
      <c r="AJ126" s="61"/>
      <c r="AK126" s="7"/>
      <c r="AL126" s="3"/>
      <c r="AM126" s="3"/>
    </row>
    <row r="127" spans="2:39" ht="15.75">
      <c r="B127" s="8"/>
      <c r="C127" s="6"/>
      <c r="D127" s="6"/>
      <c r="E127" s="6"/>
      <c r="F127" s="6"/>
      <c r="G127" s="8"/>
      <c r="H127" s="6"/>
      <c r="I127" s="6"/>
      <c r="J127" s="8"/>
      <c r="K127" s="6"/>
      <c r="L127" s="8"/>
      <c r="M127" s="6"/>
      <c r="N127" s="8"/>
      <c r="O127" s="6"/>
      <c r="P127" s="8"/>
      <c r="Q127" s="6"/>
      <c r="R127" s="8"/>
      <c r="S127" s="6"/>
      <c r="T127" s="8"/>
      <c r="U127" s="6"/>
      <c r="V127" s="8"/>
      <c r="W127" s="6"/>
      <c r="X127" s="8"/>
      <c r="Y127" s="6"/>
      <c r="Z127" s="8"/>
      <c r="AA127" s="6"/>
      <c r="AB127" s="8"/>
      <c r="AC127" s="6"/>
      <c r="AD127" s="8"/>
      <c r="AE127" s="6"/>
      <c r="AF127" s="8"/>
      <c r="AG127" s="6"/>
      <c r="AH127" s="8"/>
      <c r="AI127" s="6"/>
      <c r="AJ127" s="8"/>
      <c r="AK127" s="7"/>
      <c r="AL127" s="3"/>
      <c r="AM127" s="3"/>
    </row>
    <row r="128" spans="2:39" ht="15.75">
      <c r="B128" s="8"/>
      <c r="C128" s="6"/>
      <c r="D128" s="28" t="s">
        <v>43</v>
      </c>
      <c r="E128" s="6"/>
      <c r="F128" s="6"/>
      <c r="G128" s="8"/>
      <c r="H128" s="75">
        <f>H124+H125+H126</f>
        <v>3000000</v>
      </c>
      <c r="I128" s="6"/>
      <c r="J128" s="61">
        <f>J124+J125+J126</f>
        <v>3250000</v>
      </c>
      <c r="K128" s="6"/>
      <c r="L128" s="61">
        <f>L124+L125+L126</f>
        <v>3250000</v>
      </c>
      <c r="M128" s="6"/>
      <c r="N128" s="61">
        <f>N124+N125+N126</f>
        <v>3500000</v>
      </c>
      <c r="O128" s="6"/>
      <c r="P128" s="61">
        <f>P124+P125+P126</f>
        <v>3750000</v>
      </c>
      <c r="Q128" s="6"/>
      <c r="R128" s="61">
        <f>R124+R125+R126</f>
        <v>3750000</v>
      </c>
      <c r="S128" s="6"/>
      <c r="T128" s="61">
        <f>T124+T125+T126</f>
        <v>4000000</v>
      </c>
      <c r="U128" s="6"/>
      <c r="V128" s="61">
        <f>V124+V125+V126</f>
        <v>4550000</v>
      </c>
      <c r="W128" s="6"/>
      <c r="X128" s="61">
        <f>X124+X125+X126</f>
        <v>4550000</v>
      </c>
      <c r="Y128" s="6"/>
      <c r="Z128" s="61">
        <f>Z124+Z125+Z126</f>
        <v>4550000</v>
      </c>
      <c r="AA128" s="6"/>
      <c r="AB128" s="61"/>
      <c r="AC128" s="6"/>
      <c r="AD128" s="61"/>
      <c r="AE128" s="6"/>
      <c r="AF128" s="61"/>
      <c r="AG128" s="6"/>
      <c r="AH128" s="61"/>
      <c r="AI128" s="6"/>
      <c r="AJ128" s="61"/>
      <c r="AK128" s="7"/>
      <c r="AL128" s="3"/>
      <c r="AM128" s="3"/>
    </row>
    <row r="129" spans="2:39" ht="15.75">
      <c r="B129" s="8"/>
      <c r="C129" s="6"/>
      <c r="D129" s="6"/>
      <c r="E129" s="6"/>
      <c r="F129" s="6"/>
      <c r="G129" s="8"/>
      <c r="H129" s="6"/>
      <c r="I129" s="6"/>
      <c r="J129" s="8"/>
      <c r="K129" s="6"/>
      <c r="L129" s="8"/>
      <c r="M129" s="6"/>
      <c r="N129" s="8"/>
      <c r="O129" s="6"/>
      <c r="P129" s="8"/>
      <c r="Q129" s="6"/>
      <c r="R129" s="8"/>
      <c r="S129" s="6"/>
      <c r="T129" s="8"/>
      <c r="U129" s="6"/>
      <c r="V129" s="8"/>
      <c r="W129" s="6"/>
      <c r="X129" s="8"/>
      <c r="Y129" s="6"/>
      <c r="Z129" s="8"/>
      <c r="AA129" s="6"/>
      <c r="AB129" s="8"/>
      <c r="AC129" s="6"/>
      <c r="AD129" s="8"/>
      <c r="AE129" s="6"/>
      <c r="AF129" s="8"/>
      <c r="AG129" s="6"/>
      <c r="AH129" s="8"/>
      <c r="AI129" s="6"/>
      <c r="AJ129" s="8"/>
      <c r="AK129" s="7"/>
      <c r="AL129" s="3"/>
      <c r="AM129" s="3"/>
    </row>
    <row r="130" spans="2:39" ht="15.75">
      <c r="B130" s="74" t="s">
        <v>74</v>
      </c>
      <c r="C130" s="6"/>
      <c r="D130" s="6"/>
      <c r="E130" s="6"/>
      <c r="F130" s="6"/>
      <c r="G130" s="8"/>
      <c r="H130" s="75">
        <f>IF(H128&lt;=0,0,H128)</f>
        <v>3000000</v>
      </c>
      <c r="I130" s="6"/>
      <c r="J130" s="61">
        <f>IF(J128&lt;=0,0,J128-H131)</f>
        <v>2950000</v>
      </c>
      <c r="K130" s="6"/>
      <c r="L130" s="61">
        <f>IF(L128&lt;=0,0,IF(L128&lt;=0,0,L128-J131))</f>
        <v>2622222.222222222</v>
      </c>
      <c r="M130" s="6"/>
      <c r="N130" s="61">
        <f>IF(N128&lt;=0,0,N128-L131)</f>
        <v>2544444.4444444445</v>
      </c>
      <c r="O130" s="6"/>
      <c r="P130" s="61">
        <f>IF(P128&lt;=0,0,P128-N131)</f>
        <v>2430952.380952381</v>
      </c>
      <c r="Q130" s="6"/>
      <c r="R130" s="61">
        <f>IF(R128&lt;=0,0,R128-P131)</f>
        <v>2025793.650793651</v>
      </c>
      <c r="S130" s="6"/>
      <c r="T130" s="61">
        <f>IF(T128&lt;=0,0,T128-R131)</f>
        <v>1870634.9206349207</v>
      </c>
      <c r="U130" s="6"/>
      <c r="V130" s="61">
        <f>IF(V128&lt;=0,0,V128-T131)</f>
        <v>1952976.1904761903</v>
      </c>
      <c r="W130" s="6"/>
      <c r="X130" s="61">
        <f>IF(X128&lt;=0,0,X128-V131)</f>
        <v>1301984.1269841269</v>
      </c>
      <c r="Y130" s="6"/>
      <c r="Z130" s="61">
        <f>IF(Z128&lt;=0,0,Z128-X131)</f>
        <v>867989.4179894179</v>
      </c>
      <c r="AA130" s="6"/>
      <c r="AB130" s="61"/>
      <c r="AC130" s="6"/>
      <c r="AD130" s="61"/>
      <c r="AE130" s="6"/>
      <c r="AF130" s="61"/>
      <c r="AG130" s="6"/>
      <c r="AH130" s="61"/>
      <c r="AI130" s="6"/>
      <c r="AJ130" s="61"/>
      <c r="AK130" s="7"/>
      <c r="AL130" s="3"/>
      <c r="AM130" s="3"/>
    </row>
    <row r="131" spans="2:39" ht="15.75">
      <c r="B131" s="74" t="s">
        <v>75</v>
      </c>
      <c r="C131" s="6"/>
      <c r="D131" s="6"/>
      <c r="E131" s="6"/>
      <c r="F131" s="6"/>
      <c r="G131" s="8"/>
      <c r="H131" s="75">
        <f>IF(H128&lt;=0,0,H132)</f>
        <v>300000</v>
      </c>
      <c r="I131" s="6"/>
      <c r="J131" s="61">
        <f>IF(J128&lt;=0,0,H131+J132)</f>
        <v>627777.7777777778</v>
      </c>
      <c r="K131" s="6"/>
      <c r="L131" s="61">
        <f>IF(L128&lt;=0,0,J131+L132)</f>
        <v>955555.5555555555</v>
      </c>
      <c r="M131" s="6"/>
      <c r="N131" s="61">
        <f>IF(N128&lt;=0,0,L131+N132)</f>
        <v>1319047.619047619</v>
      </c>
      <c r="O131" s="6"/>
      <c r="P131" s="61">
        <f>IF(P128&lt;=0,0,N131+P132)</f>
        <v>1724206.349206349</v>
      </c>
      <c r="Q131" s="6"/>
      <c r="R131" s="61">
        <f>IF(R128&lt;=0,0,P131+R132)</f>
        <v>2129365.0793650793</v>
      </c>
      <c r="S131" s="6"/>
      <c r="T131" s="61">
        <f>IF(T128&lt;=0,0,R131+T132)</f>
        <v>2597023.8095238097</v>
      </c>
      <c r="U131" s="6"/>
      <c r="V131" s="61">
        <f>IF(V128&lt;=0,0,T131+V132)</f>
        <v>3248015.873015873</v>
      </c>
      <c r="W131" s="6"/>
      <c r="X131" s="61">
        <f>IF(X128&lt;=0,0,V131+X132)</f>
        <v>3682010.582010582</v>
      </c>
      <c r="Y131" s="6"/>
      <c r="Z131" s="61">
        <f>IF(Z128&lt;=0,0,X131+Z132)</f>
        <v>3971340.3880070546</v>
      </c>
      <c r="AA131" s="6"/>
      <c r="AB131" s="61"/>
      <c r="AC131" s="6"/>
      <c r="AD131" s="61"/>
      <c r="AE131" s="6"/>
      <c r="AF131" s="61"/>
      <c r="AG131" s="6"/>
      <c r="AH131" s="61"/>
      <c r="AI131" s="6"/>
      <c r="AJ131" s="61"/>
      <c r="AK131" s="7"/>
      <c r="AL131" s="3"/>
      <c r="AM131" s="3"/>
    </row>
    <row r="132" spans="2:39" ht="15.75">
      <c r="B132" s="74" t="s">
        <v>76</v>
      </c>
      <c r="C132" s="6"/>
      <c r="D132" s="6"/>
      <c r="E132" s="6"/>
      <c r="F132" s="6"/>
      <c r="G132" s="8"/>
      <c r="H132" s="75">
        <f>IF(H$107&lt;=($H$24),H128/($H$24),0)</f>
        <v>300000</v>
      </c>
      <c r="I132" s="6"/>
      <c r="J132" s="61">
        <f>IF(J$107&lt;=($H$24),J130/($H$24-1),0)</f>
        <v>327777.77777777775</v>
      </c>
      <c r="K132" s="6"/>
      <c r="L132" s="61">
        <f>IF(L$107&lt;=($H$24),L130/($H$24-2),0)</f>
        <v>327777.77777777775</v>
      </c>
      <c r="M132" s="6"/>
      <c r="N132" s="61">
        <f>IF(N$107&lt;=($H$24),N130/($H$24-3),0)</f>
        <v>363492.0634920635</v>
      </c>
      <c r="O132" s="6"/>
      <c r="P132" s="61">
        <f>IF(P$107&lt;=($H$24),P130/($H$24-4),0)</f>
        <v>405158.7301587302</v>
      </c>
      <c r="Q132" s="6"/>
      <c r="R132" s="61">
        <f>IF(R$107&lt;=($H$24),R130/($H$24-5),0)</f>
        <v>405158.7301587302</v>
      </c>
      <c r="S132" s="6"/>
      <c r="T132" s="61">
        <f>IF(T$107&lt;=($H$24),T130/($H$24-6),0)</f>
        <v>467658.7301587302</v>
      </c>
      <c r="U132" s="6"/>
      <c r="V132" s="61">
        <f>IF(V$107&lt;=($H$24),V130/($H$24-7),0)</f>
        <v>650992.0634920634</v>
      </c>
      <c r="W132" s="6"/>
      <c r="X132" s="61">
        <f>IF(X$107&lt;=($H$24),X130/($H$24-7),0)</f>
        <v>433994.70899470896</v>
      </c>
      <c r="Y132" s="6"/>
      <c r="Z132" s="61">
        <f>IF(Z$107&lt;=($H$24),Z130/($H$24-7),0)</f>
        <v>289329.80599647266</v>
      </c>
      <c r="AA132" s="6"/>
      <c r="AB132" s="61"/>
      <c r="AC132" s="6"/>
      <c r="AD132" s="61"/>
      <c r="AE132" s="6"/>
      <c r="AF132" s="61"/>
      <c r="AG132" s="6"/>
      <c r="AH132" s="61"/>
      <c r="AI132" s="6"/>
      <c r="AJ132" s="61"/>
      <c r="AK132" s="7"/>
      <c r="AL132" s="3"/>
      <c r="AM132" s="3"/>
    </row>
    <row r="133" spans="2:39" ht="15.75">
      <c r="B133" s="76"/>
      <c r="C133" s="38"/>
      <c r="D133" s="38"/>
      <c r="E133" s="38"/>
      <c r="F133" s="38"/>
      <c r="G133" s="76"/>
      <c r="H133" s="38"/>
      <c r="I133" s="38"/>
      <c r="J133" s="76"/>
      <c r="K133" s="38"/>
      <c r="L133" s="76"/>
      <c r="M133" s="38"/>
      <c r="N133" s="76"/>
      <c r="O133" s="38"/>
      <c r="P133" s="76"/>
      <c r="Q133" s="38"/>
      <c r="R133" s="76"/>
      <c r="S133" s="38"/>
      <c r="T133" s="76"/>
      <c r="U133" s="38"/>
      <c r="V133" s="76"/>
      <c r="W133" s="38"/>
      <c r="X133" s="76"/>
      <c r="Y133" s="38"/>
      <c r="Z133" s="76"/>
      <c r="AA133" s="38"/>
      <c r="AB133" s="76"/>
      <c r="AC133" s="38"/>
      <c r="AD133" s="76"/>
      <c r="AE133" s="38"/>
      <c r="AF133" s="76"/>
      <c r="AG133" s="38"/>
      <c r="AH133" s="76"/>
      <c r="AI133" s="38"/>
      <c r="AJ133" s="76"/>
      <c r="AK133" s="41"/>
      <c r="AL133" s="3"/>
      <c r="AM133" s="3"/>
    </row>
    <row r="134" spans="2:39" ht="15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:39" ht="15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:39" ht="15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:39" ht="18.7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:39" ht="15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:39" ht="15.75">
      <c r="B139" s="4" t="s">
        <v>77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4" t="s">
        <v>50</v>
      </c>
      <c r="U139" s="3"/>
      <c r="V139" s="42" t="str">
        <f>J25</f>
        <v>EUR</v>
      </c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:39" ht="15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:39" ht="15.75">
      <c r="B141" s="20"/>
      <c r="C141" s="12"/>
      <c r="D141" s="12"/>
      <c r="E141" s="12"/>
      <c r="F141" s="12"/>
      <c r="G141" s="21"/>
      <c r="H141" s="20"/>
      <c r="I141" s="21"/>
      <c r="J141" s="20"/>
      <c r="K141" s="21"/>
      <c r="L141" s="20"/>
      <c r="M141" s="12"/>
      <c r="N141" s="20"/>
      <c r="O141" s="12"/>
      <c r="P141" s="20"/>
      <c r="Q141" s="12"/>
      <c r="R141" s="20"/>
      <c r="S141" s="12"/>
      <c r="T141" s="20"/>
      <c r="U141" s="12"/>
      <c r="V141" s="20"/>
      <c r="W141" s="12"/>
      <c r="X141" s="20"/>
      <c r="Y141" s="12"/>
      <c r="Z141" s="20"/>
      <c r="AA141" s="12"/>
      <c r="AB141" s="20"/>
      <c r="AC141" s="12"/>
      <c r="AD141" s="20"/>
      <c r="AE141" s="12"/>
      <c r="AF141" s="20"/>
      <c r="AG141" s="12"/>
      <c r="AH141" s="20"/>
      <c r="AI141" s="12"/>
      <c r="AJ141" s="20"/>
      <c r="AK141" s="21"/>
      <c r="AL141" s="3"/>
      <c r="AM141" s="3"/>
    </row>
    <row r="142" spans="2:39" ht="15.75">
      <c r="B142" s="14"/>
      <c r="C142" s="31"/>
      <c r="D142" s="71" t="s">
        <v>51</v>
      </c>
      <c r="E142" s="31"/>
      <c r="F142" s="31"/>
      <c r="G142" s="32"/>
      <c r="H142" s="81" t="s">
        <v>56</v>
      </c>
      <c r="I142" s="32"/>
      <c r="J142" s="81" t="s">
        <v>57</v>
      </c>
      <c r="K142" s="32"/>
      <c r="L142" s="80" t="s">
        <v>58</v>
      </c>
      <c r="M142" s="26"/>
      <c r="N142" s="80" t="s">
        <v>59</v>
      </c>
      <c r="O142" s="26"/>
      <c r="P142" s="80" t="s">
        <v>60</v>
      </c>
      <c r="Q142" s="26"/>
      <c r="R142" s="80" t="s">
        <v>61</v>
      </c>
      <c r="S142" s="26"/>
      <c r="T142" s="80" t="s">
        <v>62</v>
      </c>
      <c r="U142" s="26"/>
      <c r="V142" s="80" t="s">
        <v>63</v>
      </c>
      <c r="W142" s="26"/>
      <c r="X142" s="80" t="s">
        <v>64</v>
      </c>
      <c r="Y142" s="26"/>
      <c r="Z142" s="80" t="s">
        <v>65</v>
      </c>
      <c r="AA142" s="26"/>
      <c r="AB142" s="80" t="s">
        <v>66</v>
      </c>
      <c r="AC142" s="26"/>
      <c r="AD142" s="80" t="s">
        <v>67</v>
      </c>
      <c r="AE142" s="26"/>
      <c r="AF142" s="80" t="s">
        <v>68</v>
      </c>
      <c r="AG142" s="26"/>
      <c r="AH142" s="80" t="s">
        <v>69</v>
      </c>
      <c r="AI142" s="26"/>
      <c r="AJ142" s="81" t="s">
        <v>70</v>
      </c>
      <c r="AK142" s="32"/>
      <c r="AL142" s="3"/>
      <c r="AM142" s="3"/>
    </row>
    <row r="143" spans="2:39" ht="15.75">
      <c r="B143" s="8"/>
      <c r="C143" s="6"/>
      <c r="D143" s="6"/>
      <c r="E143" s="6"/>
      <c r="F143" s="6"/>
      <c r="G143" s="6"/>
      <c r="H143" s="8"/>
      <c r="I143" s="6"/>
      <c r="J143" s="56"/>
      <c r="K143" s="6"/>
      <c r="L143" s="56"/>
      <c r="M143" s="18"/>
      <c r="N143" s="56"/>
      <c r="O143" s="18"/>
      <c r="P143" s="56"/>
      <c r="Q143" s="18"/>
      <c r="R143" s="56"/>
      <c r="S143" s="18"/>
      <c r="T143" s="56"/>
      <c r="U143" s="18"/>
      <c r="V143" s="56"/>
      <c r="W143" s="18"/>
      <c r="X143" s="56"/>
      <c r="Y143" s="18"/>
      <c r="Z143" s="56"/>
      <c r="AA143" s="18"/>
      <c r="AB143" s="56"/>
      <c r="AC143" s="18"/>
      <c r="AD143" s="56"/>
      <c r="AE143" s="18"/>
      <c r="AF143" s="56"/>
      <c r="AG143" s="18"/>
      <c r="AH143" s="56"/>
      <c r="AI143" s="18"/>
      <c r="AJ143" s="56"/>
      <c r="AK143" s="83"/>
      <c r="AL143" s="3"/>
      <c r="AM143" s="3"/>
    </row>
    <row r="144" spans="2:39" ht="15.75">
      <c r="B144" s="74" t="s">
        <v>39</v>
      </c>
      <c r="C144" s="6"/>
      <c r="D144" s="6"/>
      <c r="E144" s="6"/>
      <c r="F144" s="6"/>
      <c r="G144" s="6"/>
      <c r="H144" s="61">
        <f>IF(H$107&lt;=$H$24,$H$44*2,0)</f>
        <v>7537037.03102625</v>
      </c>
      <c r="I144" s="6"/>
      <c r="J144" s="61">
        <f>IF(J$107&lt;=$H$24,$H$44*2,0)</f>
        <v>7537037.03102625</v>
      </c>
      <c r="K144" s="6"/>
      <c r="L144" s="61">
        <f>IF(L$107&lt;=$H$24,$H$44*2,0)</f>
        <v>7537037.03102625</v>
      </c>
      <c r="M144" s="6"/>
      <c r="N144" s="61">
        <f>IF(N$107&lt;=$H$24,$H$44*2,0)</f>
        <v>7537037.03102625</v>
      </c>
      <c r="O144" s="6"/>
      <c r="P144" s="61">
        <f>IF(P$107&lt;=$H$24,$H$44*2,0)</f>
        <v>7537037.03102625</v>
      </c>
      <c r="Q144" s="6"/>
      <c r="R144" s="61">
        <f>IF(R$107&lt;=$H$24,$H$44*2,0)</f>
        <v>7537037.03102625</v>
      </c>
      <c r="S144" s="6"/>
      <c r="T144" s="61">
        <f>IF(T$107&lt;=$H$24,$H$44*2,0)</f>
        <v>7537037.03102625</v>
      </c>
      <c r="U144" s="6"/>
      <c r="V144" s="61">
        <f>IF(V$107&lt;=$H$24,$H$44*2,0)</f>
        <v>7537037.03102625</v>
      </c>
      <c r="W144" s="6"/>
      <c r="X144" s="61">
        <f>IF(X$107&lt;=$H$24,$H$44*2,0)</f>
        <v>7537037.03102625</v>
      </c>
      <c r="Y144" s="6"/>
      <c r="Z144" s="61">
        <f>IF(Z$107&lt;=$H$24,$H$44*2,0)</f>
        <v>7537037.03102625</v>
      </c>
      <c r="AA144" s="6"/>
      <c r="AB144" s="61"/>
      <c r="AC144" s="6"/>
      <c r="AD144" s="61"/>
      <c r="AE144" s="6"/>
      <c r="AF144" s="61"/>
      <c r="AG144" s="6"/>
      <c r="AH144" s="61"/>
      <c r="AI144" s="6"/>
      <c r="AJ144" s="61"/>
      <c r="AK144" s="7"/>
      <c r="AL144" s="3"/>
      <c r="AM144" s="3"/>
    </row>
    <row r="145" spans="2:39" ht="15.75">
      <c r="B145" s="74" t="s">
        <v>16</v>
      </c>
      <c r="C145" s="6"/>
      <c r="D145" s="6"/>
      <c r="E145" s="6"/>
      <c r="F145" s="6"/>
      <c r="G145" s="6"/>
      <c r="H145" s="61">
        <f>IF($H$24=1,$H$26,0)</f>
        <v>0</v>
      </c>
      <c r="I145" s="6"/>
      <c r="J145" s="61">
        <f>IF($H$24=2,$H$26,0)</f>
        <v>0</v>
      </c>
      <c r="K145" s="6"/>
      <c r="L145" s="61">
        <f>IF($H$24=3,$H$26,0)</f>
        <v>0</v>
      </c>
      <c r="M145" s="6"/>
      <c r="N145" s="61">
        <f>IF($H$24=4,$H$26,0)</f>
        <v>0</v>
      </c>
      <c r="O145" s="6"/>
      <c r="P145" s="61">
        <f>IF($H$24=5,$H$26,0)</f>
        <v>0</v>
      </c>
      <c r="Q145" s="6"/>
      <c r="R145" s="61">
        <f>IF($H$24=6,$H$26,0)</f>
        <v>0</v>
      </c>
      <c r="S145" s="6"/>
      <c r="T145" s="61">
        <f>IF($H$24=7,$H$26,0)</f>
        <v>0</v>
      </c>
      <c r="U145" s="6"/>
      <c r="V145" s="61">
        <f>IF($H$24=8,$H$26,0)</f>
        <v>0</v>
      </c>
      <c r="W145" s="6"/>
      <c r="X145" s="61">
        <f>IF($H$24=8,$H$26,0)</f>
        <v>0</v>
      </c>
      <c r="Y145" s="6"/>
      <c r="Z145" s="61">
        <f>IF($H$24=8,$H$26,0)</f>
        <v>0</v>
      </c>
      <c r="AA145" s="6"/>
      <c r="AB145" s="61"/>
      <c r="AC145" s="6"/>
      <c r="AD145" s="61"/>
      <c r="AE145" s="6"/>
      <c r="AF145" s="61"/>
      <c r="AG145" s="6"/>
      <c r="AH145" s="61"/>
      <c r="AI145" s="6"/>
      <c r="AJ145" s="61"/>
      <c r="AK145" s="7"/>
      <c r="AL145" s="3"/>
      <c r="AM145" s="3"/>
    </row>
    <row r="146" spans="2:39" ht="15.75">
      <c r="B146" s="8"/>
      <c r="C146" s="6"/>
      <c r="D146" s="6"/>
      <c r="E146" s="6"/>
      <c r="F146" s="6"/>
      <c r="G146" s="6"/>
      <c r="H146" s="8"/>
      <c r="I146" s="6"/>
      <c r="J146" s="8"/>
      <c r="K146" s="6"/>
      <c r="L146" s="8"/>
      <c r="M146" s="6"/>
      <c r="N146" s="8"/>
      <c r="O146" s="6"/>
      <c r="P146" s="8"/>
      <c r="Q146" s="6"/>
      <c r="R146" s="8"/>
      <c r="S146" s="6"/>
      <c r="T146" s="8"/>
      <c r="U146" s="6"/>
      <c r="V146" s="8"/>
      <c r="W146" s="6"/>
      <c r="X146" s="8"/>
      <c r="Y146" s="6"/>
      <c r="Z146" s="8"/>
      <c r="AA146" s="6"/>
      <c r="AB146" s="8"/>
      <c r="AC146" s="6"/>
      <c r="AD146" s="8"/>
      <c r="AE146" s="6"/>
      <c r="AF146" s="8"/>
      <c r="AG146" s="6"/>
      <c r="AH146" s="8"/>
      <c r="AI146" s="6"/>
      <c r="AJ146" s="8"/>
      <c r="AK146" s="7"/>
      <c r="AL146" s="3"/>
      <c r="AM146" s="3"/>
    </row>
    <row r="147" spans="2:39" ht="15.75">
      <c r="B147" s="74" t="s">
        <v>78</v>
      </c>
      <c r="C147" s="6"/>
      <c r="D147" s="6"/>
      <c r="E147" s="6"/>
      <c r="F147" s="6"/>
      <c r="G147" s="6"/>
      <c r="H147" s="61">
        <f>IF(H$107&lt;=$H$24,$H$46*2,0)</f>
        <v>3086111.109307875</v>
      </c>
      <c r="I147" s="6"/>
      <c r="J147" s="61">
        <f>IF(J$107&lt;=$H$24,$H$46*2,0)</f>
        <v>3086111.109307875</v>
      </c>
      <c r="K147" s="6"/>
      <c r="L147" s="61">
        <f>IF(L$107&lt;=$H$24,$H$46*2,0)</f>
        <v>3086111.109307875</v>
      </c>
      <c r="M147" s="6"/>
      <c r="N147" s="61">
        <f>IF(N$107&lt;=$H$24,$H$46*2,0)</f>
        <v>3086111.109307875</v>
      </c>
      <c r="O147" s="6"/>
      <c r="P147" s="61">
        <f>IF(P$107&lt;=$H$24,$H$46*2,0)</f>
        <v>3086111.109307875</v>
      </c>
      <c r="Q147" s="6"/>
      <c r="R147" s="61">
        <f>IF(R$107&lt;=$H$24,$H$46*2,0)</f>
        <v>3086111.109307875</v>
      </c>
      <c r="S147" s="6"/>
      <c r="T147" s="61">
        <f>IF(T$107&lt;=$H$24,$H$46*2,0)</f>
        <v>3086111.109307875</v>
      </c>
      <c r="U147" s="6"/>
      <c r="V147" s="61">
        <f>IF(V$107&lt;=$H$24,$H$46*2,0)</f>
        <v>3086111.109307875</v>
      </c>
      <c r="W147" s="6"/>
      <c r="X147" s="61">
        <f>IF(X$107&lt;=$H$24,$H$46*2,0)</f>
        <v>3086111.109307875</v>
      </c>
      <c r="Y147" s="6"/>
      <c r="Z147" s="61">
        <f>IF(Z$107&lt;=$H$24,$H$46*2,0)</f>
        <v>3086111.109307875</v>
      </c>
      <c r="AA147" s="6"/>
      <c r="AB147" s="61"/>
      <c r="AC147" s="6"/>
      <c r="AD147" s="61"/>
      <c r="AE147" s="6"/>
      <c r="AF147" s="61"/>
      <c r="AG147" s="6"/>
      <c r="AH147" s="61"/>
      <c r="AI147" s="6"/>
      <c r="AJ147" s="61"/>
      <c r="AK147" s="7"/>
      <c r="AL147" s="3"/>
      <c r="AM147" s="3"/>
    </row>
    <row r="148" spans="2:39" ht="15.75">
      <c r="B148" s="8"/>
      <c r="C148" s="6"/>
      <c r="D148" s="6"/>
      <c r="E148" s="6"/>
      <c r="F148" s="6"/>
      <c r="G148" s="6"/>
      <c r="H148" s="8"/>
      <c r="I148" s="6"/>
      <c r="J148" s="8"/>
      <c r="K148" s="6"/>
      <c r="L148" s="8"/>
      <c r="M148" s="6"/>
      <c r="N148" s="8"/>
      <c r="O148" s="6"/>
      <c r="P148" s="8"/>
      <c r="Q148" s="6"/>
      <c r="R148" s="8"/>
      <c r="S148" s="6"/>
      <c r="T148" s="8"/>
      <c r="U148" s="6"/>
      <c r="V148" s="8"/>
      <c r="W148" s="6"/>
      <c r="X148" s="8"/>
      <c r="Y148" s="6"/>
      <c r="Z148" s="8"/>
      <c r="AA148" s="6"/>
      <c r="AB148" s="8"/>
      <c r="AC148" s="6"/>
      <c r="AD148" s="8"/>
      <c r="AE148" s="6"/>
      <c r="AF148" s="8"/>
      <c r="AG148" s="6"/>
      <c r="AH148" s="8"/>
      <c r="AI148" s="6"/>
      <c r="AJ148" s="8"/>
      <c r="AK148" s="7"/>
      <c r="AL148" s="3"/>
      <c r="AM148" s="3"/>
    </row>
    <row r="149" spans="2:39" ht="15.75">
      <c r="B149" s="74" t="s">
        <v>79</v>
      </c>
      <c r="C149" s="6"/>
      <c r="D149" s="6"/>
      <c r="E149" s="6"/>
      <c r="F149" s="6"/>
      <c r="G149" s="6"/>
      <c r="H149" s="61">
        <f>IF(H$107&lt;=$H$24,$L$42*2,0)</f>
        <v>3183733.3318712497</v>
      </c>
      <c r="I149" s="6"/>
      <c r="J149" s="61">
        <f>IF(J$107&lt;=$H$24,$L$42*2,0)</f>
        <v>3183733.3318712497</v>
      </c>
      <c r="K149" s="6"/>
      <c r="L149" s="61">
        <f>IF(L$107&lt;=$H$24,$L$42*2,0)</f>
        <v>3183733.3318712497</v>
      </c>
      <c r="M149" s="6"/>
      <c r="N149" s="61">
        <f>IF(N$107&lt;=$H$24,$L$42*2,0)</f>
        <v>3183733.3318712497</v>
      </c>
      <c r="O149" s="6"/>
      <c r="P149" s="61">
        <f>IF(P$107&lt;=$H$24,$L$42*2,0)</f>
        <v>3183733.3318712497</v>
      </c>
      <c r="Q149" s="6"/>
      <c r="R149" s="61">
        <f>IF(R$107&lt;=$H$24,$L$42*2,0)</f>
        <v>3183733.3318712497</v>
      </c>
      <c r="S149" s="6"/>
      <c r="T149" s="61">
        <f>IF(T$107&lt;=$H$24,$L$42*2,0)</f>
        <v>3183733.3318712497</v>
      </c>
      <c r="U149" s="6"/>
      <c r="V149" s="61">
        <f>IF(V$107&lt;=$H$24,$L$42*2,0)</f>
        <v>3183733.3318712497</v>
      </c>
      <c r="W149" s="6"/>
      <c r="X149" s="61">
        <f>IF(X$107&lt;=$H$24,$L$42*2,0)</f>
        <v>3183733.3318712497</v>
      </c>
      <c r="Y149" s="6"/>
      <c r="Z149" s="61">
        <f>IF(Z$107&lt;=$H$24,$L$42*2,0)</f>
        <v>3183733.3318712497</v>
      </c>
      <c r="AA149" s="6"/>
      <c r="AB149" s="61"/>
      <c r="AC149" s="6"/>
      <c r="AD149" s="61"/>
      <c r="AE149" s="6"/>
      <c r="AF149" s="61"/>
      <c r="AG149" s="6"/>
      <c r="AH149" s="61"/>
      <c r="AI149" s="6"/>
      <c r="AJ149" s="61"/>
      <c r="AK149" s="7"/>
      <c r="AL149" s="3"/>
      <c r="AM149" s="3"/>
    </row>
    <row r="150" spans="2:39" ht="15.75">
      <c r="B150" s="8"/>
      <c r="C150" s="6"/>
      <c r="D150" s="6"/>
      <c r="E150" s="6"/>
      <c r="F150" s="6"/>
      <c r="G150" s="6"/>
      <c r="H150" s="8"/>
      <c r="I150" s="6"/>
      <c r="J150" s="8"/>
      <c r="K150" s="6"/>
      <c r="L150" s="8"/>
      <c r="M150" s="6"/>
      <c r="N150" s="8"/>
      <c r="O150" s="6"/>
      <c r="P150" s="8"/>
      <c r="Q150" s="6"/>
      <c r="R150" s="8"/>
      <c r="S150" s="6"/>
      <c r="T150" s="8"/>
      <c r="U150" s="6"/>
      <c r="V150" s="8"/>
      <c r="W150" s="6"/>
      <c r="X150" s="8"/>
      <c r="Y150" s="6"/>
      <c r="Z150" s="8"/>
      <c r="AA150" s="6"/>
      <c r="AB150" s="8"/>
      <c r="AC150" s="6"/>
      <c r="AD150" s="8"/>
      <c r="AE150" s="6"/>
      <c r="AF150" s="8"/>
      <c r="AG150" s="6"/>
      <c r="AH150" s="8"/>
      <c r="AI150" s="6"/>
      <c r="AJ150" s="8"/>
      <c r="AK150" s="7"/>
      <c r="AL150" s="3"/>
      <c r="AM150" s="3"/>
    </row>
    <row r="151" spans="2:39" ht="15.75">
      <c r="B151" s="74" t="s">
        <v>80</v>
      </c>
      <c r="C151" s="6"/>
      <c r="D151" s="6"/>
      <c r="E151" s="6"/>
      <c r="F151" s="6"/>
      <c r="G151" s="6"/>
      <c r="H151" s="61">
        <f>H144+H145-H147-H149</f>
        <v>1267192.589847125</v>
      </c>
      <c r="I151" s="6"/>
      <c r="J151" s="61">
        <f>J144+J145-J147-J149</f>
        <v>1267192.589847125</v>
      </c>
      <c r="K151" s="6"/>
      <c r="L151" s="61">
        <f>L144+L145-L147-L149</f>
        <v>1267192.589847125</v>
      </c>
      <c r="M151" s="6"/>
      <c r="N151" s="61">
        <f>N144+N145-N147-N149</f>
        <v>1267192.589847125</v>
      </c>
      <c r="O151" s="6"/>
      <c r="P151" s="61">
        <f>P144+P145-P147-P149</f>
        <v>1267192.589847125</v>
      </c>
      <c r="Q151" s="6"/>
      <c r="R151" s="61">
        <f>R144+R145-R147-R149</f>
        <v>1267192.589847125</v>
      </c>
      <c r="S151" s="6"/>
      <c r="T151" s="61">
        <f>T144+T145-T147-T149</f>
        <v>1267192.589847125</v>
      </c>
      <c r="U151" s="6"/>
      <c r="V151" s="61">
        <f>V144+V145-V147-V149</f>
        <v>1267192.589847125</v>
      </c>
      <c r="W151" s="6"/>
      <c r="X151" s="61">
        <f>X144+X145-X147-X149</f>
        <v>1267192.589847125</v>
      </c>
      <c r="Y151" s="6"/>
      <c r="Z151" s="61">
        <f>Z144+Z145-Z147-Z149</f>
        <v>1267192.589847125</v>
      </c>
      <c r="AA151" s="6"/>
      <c r="AB151" s="61"/>
      <c r="AC151" s="6"/>
      <c r="AD151" s="61"/>
      <c r="AE151" s="6"/>
      <c r="AF151" s="61"/>
      <c r="AG151" s="6"/>
      <c r="AH151" s="61"/>
      <c r="AI151" s="6"/>
      <c r="AJ151" s="61"/>
      <c r="AK151" s="7"/>
      <c r="AL151" s="3"/>
      <c r="AM151" s="3"/>
    </row>
    <row r="152" spans="2:39" ht="15.75">
      <c r="B152" s="8"/>
      <c r="C152" s="6"/>
      <c r="D152" s="6"/>
      <c r="E152" s="6"/>
      <c r="F152" s="6"/>
      <c r="G152" s="6"/>
      <c r="H152" s="8"/>
      <c r="I152" s="6"/>
      <c r="J152" s="8"/>
      <c r="K152" s="6"/>
      <c r="L152" s="8"/>
      <c r="M152" s="6"/>
      <c r="N152" s="8"/>
      <c r="O152" s="6"/>
      <c r="P152" s="8"/>
      <c r="Q152" s="6"/>
      <c r="R152" s="8"/>
      <c r="S152" s="6"/>
      <c r="T152" s="8"/>
      <c r="U152" s="6"/>
      <c r="V152" s="8"/>
      <c r="W152" s="6"/>
      <c r="X152" s="8"/>
      <c r="Y152" s="6"/>
      <c r="Z152" s="8"/>
      <c r="AA152" s="6"/>
      <c r="AB152" s="8"/>
      <c r="AC152" s="6"/>
      <c r="AD152" s="8"/>
      <c r="AE152" s="6"/>
      <c r="AF152" s="8"/>
      <c r="AG152" s="6"/>
      <c r="AH152" s="8"/>
      <c r="AI152" s="6"/>
      <c r="AJ152" s="8"/>
      <c r="AK152" s="7"/>
      <c r="AL152" s="3"/>
      <c r="AM152" s="3"/>
    </row>
    <row r="153" spans="2:39" ht="15.75">
      <c r="B153" s="74" t="s">
        <v>81</v>
      </c>
      <c r="C153" s="6"/>
      <c r="D153" s="6"/>
      <c r="E153" s="6"/>
      <c r="F153" s="6"/>
      <c r="G153" s="6"/>
      <c r="H153" s="61">
        <f>H132</f>
        <v>300000</v>
      </c>
      <c r="I153" s="6"/>
      <c r="J153" s="61">
        <f>J132</f>
        <v>327777.77777777775</v>
      </c>
      <c r="K153" s="6"/>
      <c r="L153" s="61">
        <f>L132</f>
        <v>327777.77777777775</v>
      </c>
      <c r="M153" s="6"/>
      <c r="N153" s="61">
        <f>N132</f>
        <v>363492.0634920635</v>
      </c>
      <c r="O153" s="6"/>
      <c r="P153" s="61">
        <f>P132</f>
        <v>405158.7301587302</v>
      </c>
      <c r="Q153" s="6"/>
      <c r="R153" s="61">
        <f>R132</f>
        <v>405158.7301587302</v>
      </c>
      <c r="S153" s="6"/>
      <c r="T153" s="61">
        <f>T132</f>
        <v>467658.7301587302</v>
      </c>
      <c r="U153" s="6"/>
      <c r="V153" s="61">
        <f>V132</f>
        <v>650992.0634920634</v>
      </c>
      <c r="W153" s="6"/>
      <c r="X153" s="61">
        <f>X132</f>
        <v>433994.70899470896</v>
      </c>
      <c r="Y153" s="6"/>
      <c r="Z153" s="61">
        <f>Z132</f>
        <v>289329.80599647266</v>
      </c>
      <c r="AA153" s="6"/>
      <c r="AB153" s="61"/>
      <c r="AC153" s="6"/>
      <c r="AD153" s="61"/>
      <c r="AE153" s="6"/>
      <c r="AF153" s="61"/>
      <c r="AG153" s="6"/>
      <c r="AH153" s="61"/>
      <c r="AI153" s="6"/>
      <c r="AJ153" s="61"/>
      <c r="AK153" s="7"/>
      <c r="AL153" s="3"/>
      <c r="AM153" s="3"/>
    </row>
    <row r="154" spans="2:39" ht="15.75">
      <c r="B154" s="8"/>
      <c r="C154" s="6"/>
      <c r="D154" s="6"/>
      <c r="E154" s="6"/>
      <c r="F154" s="6"/>
      <c r="G154" s="6"/>
      <c r="H154" s="8"/>
      <c r="I154" s="6"/>
      <c r="J154" s="8"/>
      <c r="K154" s="6"/>
      <c r="L154" s="8"/>
      <c r="M154" s="6"/>
      <c r="N154" s="8"/>
      <c r="O154" s="6"/>
      <c r="P154" s="8"/>
      <c r="Q154" s="6"/>
      <c r="R154" s="8"/>
      <c r="S154" s="6"/>
      <c r="T154" s="8"/>
      <c r="U154" s="6"/>
      <c r="V154" s="8"/>
      <c r="W154" s="6"/>
      <c r="X154" s="8"/>
      <c r="Y154" s="6"/>
      <c r="Z154" s="8"/>
      <c r="AA154" s="6"/>
      <c r="AB154" s="8"/>
      <c r="AC154" s="6"/>
      <c r="AD154" s="8"/>
      <c r="AE154" s="6"/>
      <c r="AF154" s="8"/>
      <c r="AG154" s="6"/>
      <c r="AH154" s="8"/>
      <c r="AI154" s="6"/>
      <c r="AJ154" s="8"/>
      <c r="AK154" s="7"/>
      <c r="AL154" s="3"/>
      <c r="AM154" s="3"/>
    </row>
    <row r="155" spans="2:39" ht="15.75">
      <c r="B155" s="74" t="s">
        <v>82</v>
      </c>
      <c r="C155" s="6"/>
      <c r="D155" s="6"/>
      <c r="E155" s="6"/>
      <c r="F155" s="6"/>
      <c r="G155" s="6"/>
      <c r="H155" s="61">
        <f>H110</f>
        <v>84000.00000000001</v>
      </c>
      <c r="I155" s="6"/>
      <c r="J155" s="61">
        <f>J110</f>
        <v>75600</v>
      </c>
      <c r="K155" s="6"/>
      <c r="L155" s="61">
        <f>L110</f>
        <v>67200</v>
      </c>
      <c r="M155" s="6"/>
      <c r="N155" s="61">
        <f>N110</f>
        <v>58800.00000000001</v>
      </c>
      <c r="O155" s="6"/>
      <c r="P155" s="61">
        <f>P110</f>
        <v>50400.00000000001</v>
      </c>
      <c r="Q155" s="6"/>
      <c r="R155" s="61">
        <f>R110</f>
        <v>42000.00000000001</v>
      </c>
      <c r="S155" s="6"/>
      <c r="T155" s="61">
        <f>T110</f>
        <v>33600</v>
      </c>
      <c r="U155" s="6"/>
      <c r="V155" s="61">
        <f>V110</f>
        <v>0</v>
      </c>
      <c r="W155" s="6"/>
      <c r="X155" s="61">
        <f>X110</f>
        <v>0</v>
      </c>
      <c r="Y155" s="6"/>
      <c r="Z155" s="61">
        <f>Z110</f>
        <v>120000</v>
      </c>
      <c r="AA155" s="6"/>
      <c r="AB155" s="61"/>
      <c r="AC155" s="6"/>
      <c r="AD155" s="61"/>
      <c r="AE155" s="6"/>
      <c r="AF155" s="61"/>
      <c r="AG155" s="6"/>
      <c r="AH155" s="61"/>
      <c r="AI155" s="6"/>
      <c r="AJ155" s="61"/>
      <c r="AK155" s="7"/>
      <c r="AL155" s="3"/>
      <c r="AM155" s="3"/>
    </row>
    <row r="156" spans="2:39" ht="15.75">
      <c r="B156" s="8"/>
      <c r="C156" s="6"/>
      <c r="D156" s="6"/>
      <c r="E156" s="6"/>
      <c r="F156" s="6"/>
      <c r="G156" s="6"/>
      <c r="H156" s="8"/>
      <c r="I156" s="6"/>
      <c r="J156" s="8"/>
      <c r="K156" s="6"/>
      <c r="L156" s="8"/>
      <c r="M156" s="6"/>
      <c r="N156" s="8"/>
      <c r="O156" s="6"/>
      <c r="P156" s="8"/>
      <c r="Q156" s="6"/>
      <c r="R156" s="8"/>
      <c r="S156" s="6"/>
      <c r="T156" s="8"/>
      <c r="U156" s="6"/>
      <c r="V156" s="8"/>
      <c r="W156" s="6"/>
      <c r="X156" s="8"/>
      <c r="Y156" s="6"/>
      <c r="Z156" s="8"/>
      <c r="AA156" s="6"/>
      <c r="AB156" s="8"/>
      <c r="AC156" s="6"/>
      <c r="AD156" s="8"/>
      <c r="AE156" s="6"/>
      <c r="AF156" s="8"/>
      <c r="AG156" s="6"/>
      <c r="AH156" s="8"/>
      <c r="AI156" s="6"/>
      <c r="AJ156" s="8"/>
      <c r="AK156" s="7"/>
      <c r="AL156" s="3"/>
      <c r="AM156" s="3"/>
    </row>
    <row r="157" spans="2:39" ht="15.75">
      <c r="B157" s="8"/>
      <c r="C157" s="6"/>
      <c r="D157" s="6"/>
      <c r="E157" s="6"/>
      <c r="F157" s="6"/>
      <c r="G157" s="6"/>
      <c r="H157" s="8"/>
      <c r="I157" s="6"/>
      <c r="J157" s="8"/>
      <c r="K157" s="6"/>
      <c r="L157" s="8"/>
      <c r="M157" s="6"/>
      <c r="N157" s="8"/>
      <c r="O157" s="6"/>
      <c r="P157" s="8"/>
      <c r="Q157" s="6"/>
      <c r="R157" s="8"/>
      <c r="S157" s="6"/>
      <c r="T157" s="8"/>
      <c r="U157" s="6"/>
      <c r="V157" s="8"/>
      <c r="W157" s="6"/>
      <c r="X157" s="8"/>
      <c r="Y157" s="6"/>
      <c r="Z157" s="8"/>
      <c r="AA157" s="6"/>
      <c r="AB157" s="8"/>
      <c r="AC157" s="6"/>
      <c r="AD157" s="8"/>
      <c r="AE157" s="6"/>
      <c r="AF157" s="8"/>
      <c r="AG157" s="6"/>
      <c r="AH157" s="8"/>
      <c r="AI157" s="6"/>
      <c r="AJ157" s="8"/>
      <c r="AK157" s="7"/>
      <c r="AL157" s="3"/>
      <c r="AM157" s="3"/>
    </row>
    <row r="158" spans="2:39" ht="15.75">
      <c r="B158" s="74" t="s">
        <v>83</v>
      </c>
      <c r="C158" s="6"/>
      <c r="D158" s="6"/>
      <c r="E158" s="6"/>
      <c r="F158" s="6"/>
      <c r="G158" s="6"/>
      <c r="H158" s="61">
        <f>H151-H153-H155</f>
        <v>883192.5898471251</v>
      </c>
      <c r="I158" s="6"/>
      <c r="J158" s="61">
        <f>J151-J153-J155</f>
        <v>863814.8120693474</v>
      </c>
      <c r="K158" s="6"/>
      <c r="L158" s="61">
        <f>L151-L153-L155</f>
        <v>872214.8120693474</v>
      </c>
      <c r="M158" s="6"/>
      <c r="N158" s="61">
        <f>N151-N153-N155</f>
        <v>844900.5263550617</v>
      </c>
      <c r="O158" s="6"/>
      <c r="P158" s="61">
        <f>P151-P153-P155</f>
        <v>811633.8596883949</v>
      </c>
      <c r="Q158" s="6"/>
      <c r="R158" s="61">
        <f>R151-R153-R155</f>
        <v>820033.8596883949</v>
      </c>
      <c r="S158" s="6"/>
      <c r="T158" s="61">
        <f>T151-T153-T155</f>
        <v>765933.8596883949</v>
      </c>
      <c r="U158" s="6"/>
      <c r="V158" s="61">
        <f>V151-V153-V155</f>
        <v>616200.5263550617</v>
      </c>
      <c r="W158" s="6"/>
      <c r="X158" s="61">
        <f>X151-X153-X155</f>
        <v>833197.8808524162</v>
      </c>
      <c r="Y158" s="6"/>
      <c r="Z158" s="61">
        <f>Z151-Z153-Z155</f>
        <v>857862.7838506524</v>
      </c>
      <c r="AA158" s="6"/>
      <c r="AB158" s="61"/>
      <c r="AC158" s="6"/>
      <c r="AD158" s="61"/>
      <c r="AE158" s="6"/>
      <c r="AF158" s="61"/>
      <c r="AG158" s="6"/>
      <c r="AH158" s="61"/>
      <c r="AI158" s="6"/>
      <c r="AJ158" s="61"/>
      <c r="AK158" s="7"/>
      <c r="AL158" s="3"/>
      <c r="AM158" s="3"/>
    </row>
    <row r="159" spans="2:39" ht="15.75">
      <c r="B159" s="126" t="s">
        <v>84</v>
      </c>
      <c r="C159" s="127"/>
      <c r="D159" s="127"/>
      <c r="E159" s="127"/>
      <c r="F159" s="127"/>
      <c r="G159" s="127"/>
      <c r="H159" s="129">
        <f>H153+H158</f>
        <v>1183192.589847125</v>
      </c>
      <c r="I159" s="130"/>
      <c r="J159" s="129">
        <f>J153+J158</f>
        <v>1191592.589847125</v>
      </c>
      <c r="K159" s="130"/>
      <c r="L159" s="129">
        <f>L153+L158</f>
        <v>1199992.589847125</v>
      </c>
      <c r="M159" s="130"/>
      <c r="N159" s="129">
        <f>N153+N158</f>
        <v>1208392.589847125</v>
      </c>
      <c r="O159" s="131"/>
      <c r="P159" s="129">
        <f>P153+P158</f>
        <v>1216792.589847125</v>
      </c>
      <c r="Q159" s="130"/>
      <c r="R159" s="129">
        <f>R153+R158</f>
        <v>1225192.589847125</v>
      </c>
      <c r="S159" s="130"/>
      <c r="T159" s="129">
        <f>T153+T158</f>
        <v>1233592.589847125</v>
      </c>
      <c r="U159" s="130"/>
      <c r="V159" s="129">
        <f>V153+V158</f>
        <v>1267192.589847125</v>
      </c>
      <c r="W159" s="130"/>
      <c r="X159" s="129">
        <f>X153+X158</f>
        <v>1267192.589847125</v>
      </c>
      <c r="Y159" s="130"/>
      <c r="Z159" s="129">
        <f>Z153+Z158</f>
        <v>1147192.589847125</v>
      </c>
      <c r="AA159" s="130"/>
      <c r="AB159" s="129"/>
      <c r="AC159" s="130"/>
      <c r="AD159" s="129"/>
      <c r="AE159" s="130"/>
      <c r="AF159" s="129"/>
      <c r="AG159" s="130"/>
      <c r="AH159" s="129"/>
      <c r="AI159" s="130"/>
      <c r="AJ159" s="129"/>
      <c r="AK159" s="132"/>
      <c r="AL159" s="3"/>
      <c r="AM159" s="3"/>
    </row>
    <row r="160" spans="2:39" ht="15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:39" ht="15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:39" ht="15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</sheetData>
  <sheetProtection/>
  <mergeCells count="2">
    <mergeCell ref="AJ21:AO21"/>
    <mergeCell ref="D12:J14"/>
  </mergeCells>
  <printOptions/>
  <pageMargins left="0.75" right="0.18" top="1" bottom="1" header="0.5" footer="0.5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3:P6"/>
  <sheetViews>
    <sheetView tabSelected="1" zoomScalePageLayoutView="0" workbookViewId="0" topLeftCell="D1">
      <selection activeCell="M10" sqref="M10"/>
    </sheetView>
  </sheetViews>
  <sheetFormatPr defaultColWidth="8.796875" defaultRowHeight="15"/>
  <sheetData>
    <row r="3" spans="12:16" ht="15.75">
      <c r="L3" s="28"/>
      <c r="M3" s="6"/>
      <c r="N3" s="6"/>
      <c r="O3" s="6"/>
      <c r="P3" s="9"/>
    </row>
    <row r="4" spans="12:16" ht="15.75">
      <c r="L4" s="28"/>
      <c r="M4" s="6"/>
      <c r="N4" s="6"/>
      <c r="O4" s="6"/>
      <c r="P4" s="9"/>
    </row>
    <row r="5" spans="12:16" ht="15.75">
      <c r="L5" s="28"/>
      <c r="M5" s="6"/>
      <c r="N5" s="6"/>
      <c r="O5" s="6"/>
      <c r="P5" s="9"/>
    </row>
    <row r="6" spans="12:16" ht="15.75">
      <c r="L6" s="28"/>
      <c r="M6" s="6"/>
      <c r="N6" s="6"/>
      <c r="O6" s="6"/>
      <c r="P6" s="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Aquisição</dc:title>
  <dc:subject/>
  <dc:creator>S&amp;C</dc:creator>
  <cp:keywords/>
  <dc:description/>
  <cp:lastModifiedBy>Cliente</cp:lastModifiedBy>
  <dcterms:created xsi:type="dcterms:W3CDTF">1999-09-09T16:25:05Z</dcterms:created>
  <dcterms:modified xsi:type="dcterms:W3CDTF">2012-10-20T10:45:58Z</dcterms:modified>
  <cp:category/>
  <cp:version/>
  <cp:contentType/>
  <cp:contentStatus/>
</cp:coreProperties>
</file>